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7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_rels/drawing1.xml.rels" ContentType="application/vnd.openxmlformats-package.relationship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ia-me" sheetId="1" state="visible" r:id="rId3"/>
    <sheet name="dados" sheetId="2" state="visible" r:id="rId4"/>
    <sheet name="arvores" sheetId="3" state="visible" r:id="rId5"/>
    <sheet name="matriz" sheetId="4" state="visible" r:id="rId6"/>
    <sheet name="parametros" sheetId="5" state="visible" r:id="rId7"/>
    <sheet name="uma_especie" sheetId="6" state="visible" r:id="rId8"/>
    <sheet name="estrutura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Q2" authorId="0">
      <text>
        <r>
          <rPr>
            <sz val="10"/>
            <rFont val="Arial"/>
            <family val="2"/>
          </rPr>
          <t xml:space="preserve">Suposição: o ecoR não informa a unidade do CAP. Mediana 270 → 27 cm de CAP (DAP ~8,6 cm).</t>
        </r>
      </text>
    </comment>
    <comment ref="Q3" authorId="0">
      <text>
        <r>
          <rPr>
            <sz val="10"/>
            <rFont val="Arial"/>
            <family val="2"/>
          </rPr>
          <t xml:space="preserve">Suposição: o ecoR não informa a unidade da altura. Mediana 90 → 9 m.</t>
        </r>
      </text>
    </comment>
  </commentList>
</comments>
</file>

<file path=xl/sharedStrings.xml><?xml version="1.0" encoding="utf-8"?>
<sst xmlns="http://schemas.openxmlformats.org/spreadsheetml/2006/main" count="5029" uniqueCount="883">
  <si>
    <t xml:space="preserve">Parâmetros fitossociológicos no Excel — dados caixeta</t>
  </si>
  <si>
    <t xml:space="preserve">FGD320 · Fitossociologia de Florestas Tropicais · Profa. Caroline C. Vasconcelos (LEDT/UFAM)</t>
  </si>
  <si>
    <t xml:space="preserve">Como usar</t>
  </si>
  <si>
    <t xml:space="preserve">1. Aba 'dados': os 1.027 fustes do banco caixeta (Vanin 1999; ecoR/USP, CC BY-SA 4.0). As colunas verdes-claras são calculadas por fórmula.</t>
  </si>
  <si>
    <t xml:space="preserve">2. Aba 'arvores': junta os fustes de cada árvore (soma da área basal, DAP equivalente, maior altura).</t>
  </si>
  <si>
    <t xml:space="preserve">3. Aba 'matriz': número de árvores de cada espécie em cada parcela (matriz espécie × parcela).</t>
  </si>
  <si>
    <t xml:space="preserve">4. Aba 'parametros': DA, DR, FA, FR, DoA, DoR, VI e VC. Escolha o caixetal na célula amarela B3 (todos, chauas, jureia ou retiro).</t>
  </si>
  <si>
    <t xml:space="preserve">5. Aba 'uma_especie': o cálculo passo a passo para a espécie escolhida na célula amarela B3. Use para conferir o seu cálculo à mão.</t>
  </si>
  <si>
    <t xml:space="preserve">6. Aba 'estrutura': distribuição diamétrica (classes de 5 cm), quociente q de De Liocourt e estratos de altura.</t>
  </si>
  <si>
    <t xml:space="preserve">Legenda de cores</t>
  </si>
  <si>
    <t xml:space="preserve">Fundo amarelo, texto azul = células que você pode mudar (entradas). Texto preto = fórmulas (não apague).</t>
  </si>
  <si>
    <t xml:space="preserve">Suposições</t>
  </si>
  <si>
    <t xml:space="preserve">Unidades não informadas pelo ecoR: assumimos CAP em mm e altura em dm (fatores de conversão na aba 'dados', células Q2 e Q3).</t>
  </si>
  <si>
    <t xml:space="preserve">Parcelas de 10 × 20 m = 200 m² = 0,02 ha (aba 'parametros', célula B4). 'Callophyllum brasiliensis' foi corrigido para Calophyllum brasiliensis.</t>
  </si>
  <si>
    <t xml:space="preserve">Uma árvore = combinação parcela + número da árvore + espécie (como no R). Assim há 672 árvores; duas árvores aparecem com dois nomes no banco original.</t>
  </si>
  <si>
    <t xml:space="preserve">Os valores devem ser idênticos aos da rotina em R: https://ledtufam.github.io/extensao/rlab/rotinas/fitossociologia.html</t>
  </si>
  <si>
    <t xml:space="preserve">Referência das fórmulas: SOUZA, A. L.; SOARES, C. P. B. Florestas nativas: estrutura, dinâmica e manejo. Viçosa: UFV, 2013 (cap. 1).</t>
  </si>
  <si>
    <t xml:space="preserve">local</t>
  </si>
  <si>
    <t xml:space="preserve">parcela</t>
  </si>
  <si>
    <t xml:space="preserve">arvore</t>
  </si>
  <si>
    <t xml:space="preserve">fuste</t>
  </si>
  <si>
    <t xml:space="preserve">cap (mm)</t>
  </si>
  <si>
    <t xml:space="preserve">h (dm)</t>
  </si>
  <si>
    <t xml:space="preserve">especie</t>
  </si>
  <si>
    <t xml:space="preserve">parc</t>
  </si>
  <si>
    <t xml:space="preserve">id_arvore</t>
  </si>
  <si>
    <t xml:space="preserve">nova_arvore</t>
  </si>
  <si>
    <t xml:space="preserve">CAP (cm)</t>
  </si>
  <si>
    <t xml:space="preserve">DAP (cm)</t>
  </si>
  <si>
    <t xml:space="preserve">g (m²)</t>
  </si>
  <si>
    <t xml:space="preserve">h (m)</t>
  </si>
  <si>
    <t xml:space="preserve">Conversões</t>
  </si>
  <si>
    <t xml:space="preserve">chauas</t>
  </si>
  <si>
    <t xml:space="preserve">Myrcia sulfiflora</t>
  </si>
  <si>
    <t xml:space="preserve">fator CAP (mm → cm)</t>
  </si>
  <si>
    <t xml:space="preserve">fator h (dm → m)</t>
  </si>
  <si>
    <t xml:space="preserve">Syagrus romanzoffianus</t>
  </si>
  <si>
    <t xml:space="preserve">Tabebuia cassinoides</t>
  </si>
  <si>
    <t xml:space="preserve">nova_arvore = 1 no primeiro fuste de cada árvore (para contar árvores, e não fustes).</t>
  </si>
  <si>
    <t xml:space="preserve">indet.1</t>
  </si>
  <si>
    <t xml:space="preserve">g = π·DAP²/40000 (m²), com DAP = CAP/π (cm).</t>
  </si>
  <si>
    <t xml:space="preserve">myrtaceae4</t>
  </si>
  <si>
    <t xml:space="preserve">myrtaceae1</t>
  </si>
  <si>
    <t xml:space="preserve">indet.2</t>
  </si>
  <si>
    <t xml:space="preserve">Psidium sp</t>
  </si>
  <si>
    <t xml:space="preserve">Coussapoa micropoda</t>
  </si>
  <si>
    <t xml:space="preserve">Tibouchina nutticeps</t>
  </si>
  <si>
    <t xml:space="preserve">myrtaceae2</t>
  </si>
  <si>
    <t xml:space="preserve">Calophyllum brasiliensis</t>
  </si>
  <si>
    <t xml:space="preserve">indet.3</t>
  </si>
  <si>
    <t xml:space="preserve">jureia</t>
  </si>
  <si>
    <t xml:space="preserve">Cabralea canjerana</t>
  </si>
  <si>
    <t xml:space="preserve">jussara</t>
  </si>
  <si>
    <t xml:space="preserve">Pisonia sp</t>
  </si>
  <si>
    <t xml:space="preserve">Matayba sp</t>
  </si>
  <si>
    <t xml:space="preserve">Pera glabrata</t>
  </si>
  <si>
    <t xml:space="preserve">Persea sp</t>
  </si>
  <si>
    <t xml:space="preserve">Ficus sp</t>
  </si>
  <si>
    <t xml:space="preserve">bombacaceae</t>
  </si>
  <si>
    <t xml:space="preserve">Coussapoa macrocarpa</t>
  </si>
  <si>
    <t xml:space="preserve">Alchornea triplinervia</t>
  </si>
  <si>
    <t xml:space="preserve">Andira fraxinifolia</t>
  </si>
  <si>
    <t xml:space="preserve">Cryptocaria moschata</t>
  </si>
  <si>
    <t xml:space="preserve">Gomidesia sp</t>
  </si>
  <si>
    <t xml:space="preserve">eugenia3</t>
  </si>
  <si>
    <t xml:space="preserve">Ilex durosa</t>
  </si>
  <si>
    <t xml:space="preserve">Inga sp</t>
  </si>
  <si>
    <t xml:space="preserve">fabaceae1</t>
  </si>
  <si>
    <t xml:space="preserve">Simplocos sp</t>
  </si>
  <si>
    <t xml:space="preserve">Jacaranda puberula</t>
  </si>
  <si>
    <t xml:space="preserve">retiro</t>
  </si>
  <si>
    <t xml:space="preserve">Mela 1</t>
  </si>
  <si>
    <t xml:space="preserve">Ilex sp</t>
  </si>
  <si>
    <t xml:space="preserve">Myrtaceae 3</t>
  </si>
  <si>
    <t xml:space="preserve">Mela 2</t>
  </si>
  <si>
    <t xml:space="preserve">Tabebuia 1</t>
  </si>
  <si>
    <t xml:space="preserve">Eugenia oblongata</t>
  </si>
  <si>
    <t xml:space="preserve">Cecropia sp</t>
  </si>
  <si>
    <t xml:space="preserve">Cyathea sp</t>
  </si>
  <si>
    <t xml:space="preserve">Solanum sp1</t>
  </si>
  <si>
    <t xml:space="preserve">Solanum sp2</t>
  </si>
  <si>
    <t xml:space="preserve">fustes</t>
  </si>
  <si>
    <t xml:space="preserve">G árvore (m²)</t>
  </si>
  <si>
    <t xml:space="preserve">DAP eq. (cm)</t>
  </si>
  <si>
    <t xml:space="preserve">altura máx. (m)</t>
  </si>
  <si>
    <t xml:space="preserve">DAP equivalente = √(G·40000/π) = √(Σ DAP²): o diâmetro de um fuste único com a mesma área basal da árvore.</t>
  </si>
  <si>
    <t xml:space="preserve">chauas_1</t>
  </si>
  <si>
    <t xml:space="preserve">chauas_1_1_Myrcia sulfiflora</t>
  </si>
  <si>
    <t xml:space="preserve">chauas_1_3_Myrcia sulfiflora</t>
  </si>
  <si>
    <t xml:space="preserve">chauas_1_4_Syagrus romanzoffianus</t>
  </si>
  <si>
    <t xml:space="preserve">chauas_1_5_Tabebuia cassinoides</t>
  </si>
  <si>
    <t xml:space="preserve">chauas_1_6_indet.1</t>
  </si>
  <si>
    <t xml:space="preserve">chauas_1_7_Myrcia sulfiflora</t>
  </si>
  <si>
    <t xml:space="preserve">chauas_1_8_Tabebuia cassinoides</t>
  </si>
  <si>
    <t xml:space="preserve">chauas_1_9_Tabebuia cassinoides</t>
  </si>
  <si>
    <t xml:space="preserve">chauas_1_10_Tabebuia cassinoides</t>
  </si>
  <si>
    <t xml:space="preserve">chauas_1_11_Tabebuia cassinoides</t>
  </si>
  <si>
    <t xml:space="preserve">chauas_1_12_Myrcia sulfiflora</t>
  </si>
  <si>
    <t xml:space="preserve">chauas_1_13_Myrcia sulfiflora</t>
  </si>
  <si>
    <t xml:space="preserve">chauas_1_14_Tabebuia cassinoides</t>
  </si>
  <si>
    <t xml:space="preserve">chauas_1_15_Tabebuia cassinoides</t>
  </si>
  <si>
    <t xml:space="preserve">chauas_1_16_myrtaceae4</t>
  </si>
  <si>
    <t xml:space="preserve">chauas_1_17_Tabebuia cassinoides</t>
  </si>
  <si>
    <t xml:space="preserve">chauas_1_18_Myrcia sulfiflora</t>
  </si>
  <si>
    <t xml:space="preserve">chauas_1_19_Tabebuia cassinoides</t>
  </si>
  <si>
    <t xml:space="preserve">chauas_1_20_Tabebuia cassinoides</t>
  </si>
  <si>
    <t xml:space="preserve">chauas_1_21_myrtaceae1</t>
  </si>
  <si>
    <t xml:space="preserve">chauas_1_22_indet.2</t>
  </si>
  <si>
    <t xml:space="preserve">chauas_1_23_Tabebuia cassinoides</t>
  </si>
  <si>
    <t xml:space="preserve">chauas_1_24_Tabebuia cassinoides</t>
  </si>
  <si>
    <t xml:space="preserve">chauas_1_25_Tabebuia cassinoides</t>
  </si>
  <si>
    <t xml:space="preserve">chauas_1_26_Tabebuia cassinoides</t>
  </si>
  <si>
    <t xml:space="preserve">chauas_1_27_Myrcia sulfiflora</t>
  </si>
  <si>
    <t xml:space="preserve">chauas_1_28_Myrcia sulfiflora</t>
  </si>
  <si>
    <t xml:space="preserve">chauas_1_29_Tabebuia cassinoides</t>
  </si>
  <si>
    <t xml:space="preserve">chauas_1_30_Tabebuia cassinoides</t>
  </si>
  <si>
    <t xml:space="preserve">chauas_1_31_Tabebuia cassinoides</t>
  </si>
  <si>
    <t xml:space="preserve">chauas_1_32_Tabebuia cassinoides</t>
  </si>
  <si>
    <t xml:space="preserve">chauas_1_33_Tabebuia cassinoides</t>
  </si>
  <si>
    <t xml:space="preserve">chauas_1_34_Psidium sp</t>
  </si>
  <si>
    <t xml:space="preserve">chauas_1_35_Tabebuia cassinoides</t>
  </si>
  <si>
    <t xml:space="preserve">chauas_1_36_Tabebuia cassinoides</t>
  </si>
  <si>
    <t xml:space="preserve">chauas_1_37_Tabebuia cassinoides</t>
  </si>
  <si>
    <t xml:space="preserve">chauas_1_38_Tabebuia cassinoides</t>
  </si>
  <si>
    <t xml:space="preserve">chauas_1_39_Tabebuia cassinoides</t>
  </si>
  <si>
    <t xml:space="preserve">chauas_1_40_Myrcia sulfiflora</t>
  </si>
  <si>
    <t xml:space="preserve">chauas_1_41_Tabebuia cassinoides</t>
  </si>
  <si>
    <t xml:space="preserve">chauas_1_42_Tabebuia cassinoides</t>
  </si>
  <si>
    <t xml:space="preserve">chauas_1_43_Myrcia sulfiflora</t>
  </si>
  <si>
    <t xml:space="preserve">chauas_1_44_Tabebuia cassinoides</t>
  </si>
  <si>
    <t xml:space="preserve">chauas_1_45_Coussapoa micropoda</t>
  </si>
  <si>
    <t xml:space="preserve">chauas_1_46_Tabebuia cassinoides</t>
  </si>
  <si>
    <t xml:space="preserve">chauas_1_47_Myrcia sulfiflora</t>
  </si>
  <si>
    <t xml:space="preserve">chauas_1_48_myrtaceae1</t>
  </si>
  <si>
    <t xml:space="preserve">chauas_2</t>
  </si>
  <si>
    <t xml:space="preserve">chauas_2_49_Myrcia sulfiflora</t>
  </si>
  <si>
    <t xml:space="preserve">chauas_2_50_Tabebuia cassinoides</t>
  </si>
  <si>
    <t xml:space="preserve">chauas_2_51_Myrcia sulfiflora</t>
  </si>
  <si>
    <t xml:space="preserve">chauas_2_52_Tabebuia cassinoides</t>
  </si>
  <si>
    <t xml:space="preserve">chauas_2_53_Myrcia sulfiflora</t>
  </si>
  <si>
    <t xml:space="preserve">chauas_2_54_Tabebuia cassinoides</t>
  </si>
  <si>
    <t xml:space="preserve">chauas_2_55_Tabebuia cassinoides</t>
  </si>
  <si>
    <t xml:space="preserve">chauas_2_56_Tabebuia cassinoides</t>
  </si>
  <si>
    <t xml:space="preserve">chauas_2_57_Myrcia sulfiflora</t>
  </si>
  <si>
    <t xml:space="preserve">chauas_2_58_Tabebuia cassinoides</t>
  </si>
  <si>
    <t xml:space="preserve">chauas_2_59_Tabebuia cassinoides</t>
  </si>
  <si>
    <t xml:space="preserve">chauas_2_60_Tabebuia cassinoides</t>
  </si>
  <si>
    <t xml:space="preserve">chauas_2_61_Tabebuia cassinoides</t>
  </si>
  <si>
    <t xml:space="preserve">chauas_2_62_Tabebuia cassinoides</t>
  </si>
  <si>
    <t xml:space="preserve">chauas_2_63_Tabebuia cassinoides</t>
  </si>
  <si>
    <t xml:space="preserve">chauas_2_64_Tibouchina nutticeps</t>
  </si>
  <si>
    <t xml:space="preserve">chauas_2_65_Tabebuia cassinoides</t>
  </si>
  <si>
    <t xml:space="preserve">chauas_2_66_Myrcia sulfiflora</t>
  </si>
  <si>
    <t xml:space="preserve">chauas_2_67_Tabebuia cassinoides</t>
  </si>
  <si>
    <t xml:space="preserve">chauas_2_68_Tabebuia cassinoides</t>
  </si>
  <si>
    <t xml:space="preserve">chauas_2_69_Myrcia sulfiflora</t>
  </si>
  <si>
    <t xml:space="preserve">chauas_2_70_Tibouchina nutticeps</t>
  </si>
  <si>
    <t xml:space="preserve">chauas_2_71_Myrcia sulfiflora</t>
  </si>
  <si>
    <t xml:space="preserve">chauas_2_72_Tabebuia cassinoides</t>
  </si>
  <si>
    <t xml:space="preserve">chauas_2_73_Tabebuia cassinoides</t>
  </si>
  <si>
    <t xml:space="preserve">chauas_2_74_Tabebuia cassinoides</t>
  </si>
  <si>
    <t xml:space="preserve">chauas_2_75_Tabebuia cassinoides</t>
  </si>
  <si>
    <t xml:space="preserve">chauas_2_76_Tabebuia cassinoides</t>
  </si>
  <si>
    <t xml:space="preserve">chauas_2_77_Myrcia sulfiflora</t>
  </si>
  <si>
    <t xml:space="preserve">chauas_2_78_Tabebuia cassinoides</t>
  </si>
  <si>
    <t xml:space="preserve">chauas_2_79_myrtaceae2</t>
  </si>
  <si>
    <t xml:space="preserve">chauas_2_80_Myrcia sulfiflora</t>
  </si>
  <si>
    <t xml:space="preserve">chauas_2_81_Tabebuia cassinoides</t>
  </si>
  <si>
    <t xml:space="preserve">chauas_2_82_Myrcia sulfiflora</t>
  </si>
  <si>
    <t xml:space="preserve">chauas_2_83_Calophyllum brasiliensis</t>
  </si>
  <si>
    <t xml:space="preserve">chauas_2_84_Tabebuia cassinoides</t>
  </si>
  <si>
    <t xml:space="preserve">chauas_2_85_Tabebuia cassinoides</t>
  </si>
  <si>
    <t xml:space="preserve">chauas_2_86_Tabebuia cassinoides</t>
  </si>
  <si>
    <t xml:space="preserve">chauas_2_87_myrtaceae1</t>
  </si>
  <si>
    <t xml:space="preserve">chauas_2_88_Tabebuia cassinoides</t>
  </si>
  <si>
    <t xml:space="preserve">chauas_2_89_Tabebuia cassinoides</t>
  </si>
  <si>
    <t xml:space="preserve">chauas_2_90_Tabebuia cassinoides</t>
  </si>
  <si>
    <t xml:space="preserve">chauas_2_91_Myrcia sulfiflora</t>
  </si>
  <si>
    <t xml:space="preserve">chauas_2_92_Tabebuia cassinoides</t>
  </si>
  <si>
    <t xml:space="preserve">chauas_2_93_Myrcia sulfiflora</t>
  </si>
  <si>
    <t xml:space="preserve">chauas_2_94_Tabebuia cassinoides</t>
  </si>
  <si>
    <t xml:space="preserve">chauas_2_95_Myrcia sulfiflora</t>
  </si>
  <si>
    <t xml:space="preserve">chauas_2_96_Myrcia sulfiflora</t>
  </si>
  <si>
    <t xml:space="preserve">chauas_2_97_Tabebuia cassinoides</t>
  </si>
  <si>
    <t xml:space="preserve">chauas_2_98_Myrcia sulfiflora</t>
  </si>
  <si>
    <t xml:space="preserve">chauas_2_99_Tabebuia cassinoides</t>
  </si>
  <si>
    <t xml:space="preserve">chauas_2_100_Myrcia sulfiflora</t>
  </si>
  <si>
    <t xml:space="preserve">chauas_2_101_Tabebuia cassinoides</t>
  </si>
  <si>
    <t xml:space="preserve">chauas_2_102_Tabebuia cassinoides</t>
  </si>
  <si>
    <t xml:space="preserve">chauas_2_103_Myrcia sulfiflora</t>
  </si>
  <si>
    <t xml:space="preserve">chauas_3</t>
  </si>
  <si>
    <t xml:space="preserve">chauas_3_104_Tabebuia cassinoides</t>
  </si>
  <si>
    <t xml:space="preserve">chauas_3_105_Tabebuia cassinoides</t>
  </si>
  <si>
    <t xml:space="preserve">chauas_3_106_Tabebuia cassinoides</t>
  </si>
  <si>
    <t xml:space="preserve">chauas_3_107_Tabebuia cassinoides</t>
  </si>
  <si>
    <t xml:space="preserve">chauas_3_108_Tabebuia cassinoides</t>
  </si>
  <si>
    <t xml:space="preserve">chauas_3_109_Tabebuia cassinoides</t>
  </si>
  <si>
    <t xml:space="preserve">chauas_3_110_Tabebuia cassinoides</t>
  </si>
  <si>
    <t xml:space="preserve">chauas_3_111_Tabebuia cassinoides</t>
  </si>
  <si>
    <t xml:space="preserve">chauas_3_112_Tabebuia cassinoides</t>
  </si>
  <si>
    <t xml:space="preserve">chauas_3_113_Tabebuia cassinoides</t>
  </si>
  <si>
    <t xml:space="preserve">chauas_3_114_Tabebuia cassinoides</t>
  </si>
  <si>
    <t xml:space="preserve">chauas_3_115_Tabebuia cassinoides</t>
  </si>
  <si>
    <t xml:space="preserve">chauas_3_116_Myrcia sulfiflora</t>
  </si>
  <si>
    <t xml:space="preserve">chauas_3_117_Myrcia sulfiflora</t>
  </si>
  <si>
    <t xml:space="preserve">chauas_3_118_Tabebuia cassinoides</t>
  </si>
  <si>
    <t xml:space="preserve">chauas_3_119_Tabebuia cassinoides</t>
  </si>
  <si>
    <t xml:space="preserve">chauas_3_120_Tabebuia cassinoides</t>
  </si>
  <si>
    <t xml:space="preserve">chauas_3_121_Tabebuia cassinoides</t>
  </si>
  <si>
    <t xml:space="preserve">chauas_3_122_Tabebuia cassinoides</t>
  </si>
  <si>
    <t xml:space="preserve">chauas_3_123_Tabebuia cassinoides</t>
  </si>
  <si>
    <t xml:space="preserve">chauas_3_124_Myrcia sulfiflora</t>
  </si>
  <si>
    <t xml:space="preserve">chauas_3_125_Tabebuia cassinoides</t>
  </si>
  <si>
    <t xml:space="preserve">chauas_3_126_Myrcia sulfiflora</t>
  </si>
  <si>
    <t xml:space="preserve">chauas_3_127_Tabebuia cassinoides</t>
  </si>
  <si>
    <t xml:space="preserve">chauas_3_128_Tabebuia cassinoides</t>
  </si>
  <si>
    <t xml:space="preserve">chauas_3_129_Tabebuia cassinoides</t>
  </si>
  <si>
    <t xml:space="preserve">chauas_3_130_Tabebuia cassinoides</t>
  </si>
  <si>
    <t xml:space="preserve">chauas_3_131_Tabebuia cassinoides</t>
  </si>
  <si>
    <t xml:space="preserve">chauas_3_132_Tabebuia cassinoides</t>
  </si>
  <si>
    <t xml:space="preserve">chauas_3_133_Myrcia sulfiflora</t>
  </si>
  <si>
    <t xml:space="preserve">chauas_3_134_Tabebuia cassinoides</t>
  </si>
  <si>
    <t xml:space="preserve">chauas_3_135_Tabebuia cassinoides</t>
  </si>
  <si>
    <t xml:space="preserve">chauas_3_136_Tabebuia cassinoides</t>
  </si>
  <si>
    <t xml:space="preserve">chauas_3_137_Myrcia sulfiflora</t>
  </si>
  <si>
    <t xml:space="preserve">chauas_3_138_Tabebuia cassinoides</t>
  </si>
  <si>
    <t xml:space="preserve">chauas_3_139_Tabebuia cassinoides</t>
  </si>
  <si>
    <t xml:space="preserve">chauas_3_140_Tabebuia cassinoides</t>
  </si>
  <si>
    <t xml:space="preserve">chauas_3_141_Tabebuia cassinoides</t>
  </si>
  <si>
    <t xml:space="preserve">chauas_3_142_Tabebuia cassinoides</t>
  </si>
  <si>
    <t xml:space="preserve">chauas_3_143_Tabebuia cassinoides</t>
  </si>
  <si>
    <t xml:space="preserve">chauas_3_144_Myrcia sulfiflora</t>
  </si>
  <si>
    <t xml:space="preserve">chauas_3_145_Tabebuia cassinoides</t>
  </si>
  <si>
    <t xml:space="preserve">chauas_3_146_Tabebuia cassinoides</t>
  </si>
  <si>
    <t xml:space="preserve">chauas_3_147_Calophyllum brasiliensis</t>
  </si>
  <si>
    <t xml:space="preserve">chauas_3_148_Myrcia sulfiflora</t>
  </si>
  <si>
    <t xml:space="preserve">chauas_3_149_Tabebuia cassinoides</t>
  </si>
  <si>
    <t xml:space="preserve">chauas_3_150_Myrcia sulfiflora</t>
  </si>
  <si>
    <t xml:space="preserve">chauas_3_151_Tabebuia cassinoides</t>
  </si>
  <si>
    <t xml:space="preserve">chauas_3_152_Tabebuia cassinoides</t>
  </si>
  <si>
    <t xml:space="preserve">chauas_3_153_Tabebuia cassinoides</t>
  </si>
  <si>
    <t xml:space="preserve">chauas_3_154_Tabebuia cassinoides</t>
  </si>
  <si>
    <t xml:space="preserve">chauas_3_155_Calophyllum brasiliensis</t>
  </si>
  <si>
    <t xml:space="preserve">chauas_3_156_Tabebuia cassinoides</t>
  </si>
  <si>
    <t xml:space="preserve">chauas_3_157_Tabebuia cassinoides</t>
  </si>
  <si>
    <t xml:space="preserve">chauas_3_158_Tabebuia cassinoides</t>
  </si>
  <si>
    <t xml:space="preserve">chauas_3_159_Tabebuia cassinoides</t>
  </si>
  <si>
    <t xml:space="preserve">chauas_3_160_Tabebuia cassinoides</t>
  </si>
  <si>
    <t xml:space="preserve">chauas_3_161_Tabebuia cassinoides</t>
  </si>
  <si>
    <t xml:space="preserve">chauas_3_162_Calophyllum brasiliensis</t>
  </si>
  <si>
    <t xml:space="preserve">chauas_3_163_Tabebuia cassinoides</t>
  </si>
  <si>
    <t xml:space="preserve">chauas_3_164_Tabebuia cassinoides</t>
  </si>
  <si>
    <t xml:space="preserve">chauas_3_165_Tabebuia cassinoides</t>
  </si>
  <si>
    <t xml:space="preserve">chauas_3_166_Tabebuia cassinoides</t>
  </si>
  <si>
    <t xml:space="preserve">chauas_3_167_Tabebuia cassinoides</t>
  </si>
  <si>
    <t xml:space="preserve">chauas_3_168_Tabebuia cassinoides</t>
  </si>
  <si>
    <t xml:space="preserve">chauas_3_169_Tabebuia cassinoides</t>
  </si>
  <si>
    <t xml:space="preserve">chauas_3_170_Tabebuia cassinoides</t>
  </si>
  <si>
    <t xml:space="preserve">chauas_4</t>
  </si>
  <si>
    <t xml:space="preserve">chauas_4_171_Tabebuia cassinoides</t>
  </si>
  <si>
    <t xml:space="preserve">chauas_4_172_Tabebuia cassinoides</t>
  </si>
  <si>
    <t xml:space="preserve">chauas_4_173_Myrcia sulfiflora</t>
  </si>
  <si>
    <t xml:space="preserve">chauas_4_174_Myrcia sulfiflora</t>
  </si>
  <si>
    <t xml:space="preserve">chauas_4_175_Tabebuia cassinoides</t>
  </si>
  <si>
    <t xml:space="preserve">chauas_4_176_Myrcia sulfiflora</t>
  </si>
  <si>
    <t xml:space="preserve">chauas_4_177_Tabebuia cassinoides</t>
  </si>
  <si>
    <t xml:space="preserve">chauas_4_178_Myrcia sulfiflora</t>
  </si>
  <si>
    <t xml:space="preserve">chauas_4_179_Myrcia sulfiflora</t>
  </si>
  <si>
    <t xml:space="preserve">chauas_4_180_Tabebuia cassinoides</t>
  </si>
  <si>
    <t xml:space="preserve">chauas_4_181_Tabebuia cassinoides</t>
  </si>
  <si>
    <t xml:space="preserve">chauas_4_182_Myrcia sulfiflora</t>
  </si>
  <si>
    <t xml:space="preserve">chauas_4_183_Tabebuia cassinoides</t>
  </si>
  <si>
    <t xml:space="preserve">chauas_4_184_Myrcia sulfiflora</t>
  </si>
  <si>
    <t xml:space="preserve">chauas_4_185_Myrcia sulfiflora</t>
  </si>
  <si>
    <t xml:space="preserve">chauas_4_186_Calophyllum brasiliensis</t>
  </si>
  <si>
    <t xml:space="preserve">chauas_4_187_Myrcia sulfiflora</t>
  </si>
  <si>
    <t xml:space="preserve">chauas_4_188_Myrcia sulfiflora</t>
  </si>
  <si>
    <t xml:space="preserve">chauas_4_189_Tabebuia cassinoides</t>
  </si>
  <si>
    <t xml:space="preserve">chauas_4_190_Tabebuia cassinoides</t>
  </si>
  <si>
    <t xml:space="preserve">chauas_4_191_Tabebuia cassinoides</t>
  </si>
  <si>
    <t xml:space="preserve">chauas_4_192_Tabebuia cassinoides</t>
  </si>
  <si>
    <t xml:space="preserve">chauas_4_193_Myrcia sulfiflora</t>
  </si>
  <si>
    <t xml:space="preserve">chauas_4_194_Myrcia sulfiflora</t>
  </si>
  <si>
    <t xml:space="preserve">chauas_4_195_Tabebuia cassinoides</t>
  </si>
  <si>
    <t xml:space="preserve">chauas_4_196_Myrcia sulfiflora</t>
  </si>
  <si>
    <t xml:space="preserve">chauas_4_197_Tabebuia cassinoides</t>
  </si>
  <si>
    <t xml:space="preserve">chauas_4_198_Myrcia sulfiflora</t>
  </si>
  <si>
    <t xml:space="preserve">chauas_4_199_Calophyllum brasiliensis</t>
  </si>
  <si>
    <t xml:space="preserve">chauas_4_200_Tabebuia cassinoides</t>
  </si>
  <si>
    <t xml:space="preserve">chauas_4_201_Tabebuia cassinoides</t>
  </si>
  <si>
    <t xml:space="preserve">chauas_4_202_Tabebuia cassinoides</t>
  </si>
  <si>
    <t xml:space="preserve">chauas_4_203_Myrcia sulfiflora</t>
  </si>
  <si>
    <t xml:space="preserve">chauas_4_204_Tabebuia cassinoides</t>
  </si>
  <si>
    <t xml:space="preserve">chauas_4_205_Tabebuia cassinoides</t>
  </si>
  <si>
    <t xml:space="preserve">chauas_4_206_Myrcia sulfiflora</t>
  </si>
  <si>
    <t xml:space="preserve">chauas_4_207_Myrcia sulfiflora</t>
  </si>
  <si>
    <t xml:space="preserve">chauas_4_208_Myrcia sulfiflora</t>
  </si>
  <si>
    <t xml:space="preserve">chauas_4_209_Myrcia sulfiflora</t>
  </si>
  <si>
    <t xml:space="preserve">chauas_4_210_Myrcia sulfiflora</t>
  </si>
  <si>
    <t xml:space="preserve">chauas_4_211_Tabebuia cassinoides</t>
  </si>
  <si>
    <t xml:space="preserve">chauas_4_212_Myrcia sulfiflora</t>
  </si>
  <si>
    <t xml:space="preserve">chauas_4_213_Myrcia sulfiflora</t>
  </si>
  <si>
    <t xml:space="preserve">chauas_4_214_indet.3</t>
  </si>
  <si>
    <t xml:space="preserve">chauas_4_215_Myrcia sulfiflora</t>
  </si>
  <si>
    <t xml:space="preserve">chauas_4_216_Tabebuia cassinoides</t>
  </si>
  <si>
    <t xml:space="preserve">chauas_4_217_Myrcia sulfiflora</t>
  </si>
  <si>
    <t xml:space="preserve">chauas_4_218_Tabebuia cassinoides</t>
  </si>
  <si>
    <t xml:space="preserve">chauas_4_219_Tabebuia cassinoides</t>
  </si>
  <si>
    <t xml:space="preserve">chauas_4_220_Tabebuia cassinoides</t>
  </si>
  <si>
    <t xml:space="preserve">chauas_4_221_Tabebuia cassinoides</t>
  </si>
  <si>
    <t xml:space="preserve">chauas_4_222_Tabebuia cassinoides</t>
  </si>
  <si>
    <t xml:space="preserve">chauas_5</t>
  </si>
  <si>
    <t xml:space="preserve">chauas_5_223_Tabebuia cassinoides</t>
  </si>
  <si>
    <t xml:space="preserve">chauas_5_224_Tabebuia cassinoides</t>
  </si>
  <si>
    <t xml:space="preserve">chauas_5_225_Tabebuia cassinoides</t>
  </si>
  <si>
    <t xml:space="preserve">chauas_5_226_Myrcia sulfiflora</t>
  </si>
  <si>
    <t xml:space="preserve">chauas_5_227_Myrcia sulfiflora</t>
  </si>
  <si>
    <t xml:space="preserve">chauas_5_228_Tabebuia cassinoides</t>
  </si>
  <si>
    <t xml:space="preserve">chauas_5_229_Myrcia sulfiflora</t>
  </si>
  <si>
    <t xml:space="preserve">chauas_5_230_Tabebuia cassinoides</t>
  </si>
  <si>
    <t xml:space="preserve">chauas_5_231_Tabebuia cassinoides</t>
  </si>
  <si>
    <t xml:space="preserve">chauas_5_232_Tabebuia cassinoides</t>
  </si>
  <si>
    <t xml:space="preserve">chauas_5_233_Tabebuia cassinoides</t>
  </si>
  <si>
    <t xml:space="preserve">chauas_5_234_Myrcia sulfiflora</t>
  </si>
  <si>
    <t xml:space="preserve">chauas_5_235_Tabebuia cassinoides</t>
  </si>
  <si>
    <t xml:space="preserve">chauas_5_236_Tabebuia cassinoides</t>
  </si>
  <si>
    <t xml:space="preserve">chauas_5_237_Tabebuia cassinoides</t>
  </si>
  <si>
    <t xml:space="preserve">chauas_5_238_Tabebuia cassinoides</t>
  </si>
  <si>
    <t xml:space="preserve">chauas_5_239_Myrcia sulfiflora</t>
  </si>
  <si>
    <t xml:space="preserve">chauas_5_240_Tabebuia cassinoides</t>
  </si>
  <si>
    <t xml:space="preserve">chauas_5_241_Tabebuia cassinoides</t>
  </si>
  <si>
    <t xml:space="preserve">chauas_5_242_Tabebuia cassinoides</t>
  </si>
  <si>
    <t xml:space="preserve">chauas_5_243_Tabebuia cassinoides</t>
  </si>
  <si>
    <t xml:space="preserve">chauas_5_244_Myrcia sulfiflora</t>
  </si>
  <si>
    <t xml:space="preserve">chauas_5_245_Calophyllum brasiliensis</t>
  </si>
  <si>
    <t xml:space="preserve">chauas_5_246_Tabebuia cassinoides</t>
  </si>
  <si>
    <t xml:space="preserve">chauas_5_247_Tabebuia cassinoides</t>
  </si>
  <si>
    <t xml:space="preserve">chauas_5_248_Myrcia sulfiflora</t>
  </si>
  <si>
    <t xml:space="preserve">chauas_5_249_Tabebuia cassinoides</t>
  </si>
  <si>
    <t xml:space="preserve">chauas_5_250_Myrcia sulfiflora</t>
  </si>
  <si>
    <t xml:space="preserve">chauas_5_251_Myrcia sulfiflora</t>
  </si>
  <si>
    <t xml:space="preserve">chauas_5_252_Tabebuia cassinoides</t>
  </si>
  <si>
    <t xml:space="preserve">chauas_5_253_Tabebuia cassinoides</t>
  </si>
  <si>
    <t xml:space="preserve">chauas_5_254_Tabebuia cassinoides</t>
  </si>
  <si>
    <t xml:space="preserve">chauas_5_255_Tabebuia cassinoides</t>
  </si>
  <si>
    <t xml:space="preserve">chauas_5_256_Tabebuia cassinoides</t>
  </si>
  <si>
    <t xml:space="preserve">chauas_5_257_Tabebuia cassinoides</t>
  </si>
  <si>
    <t xml:space="preserve">chauas_5_258_Tabebuia cassinoides</t>
  </si>
  <si>
    <t xml:space="preserve">chauas_5_259_Myrcia sulfiflora</t>
  </si>
  <si>
    <t xml:space="preserve">chauas_5_260_Tabebuia cassinoides</t>
  </si>
  <si>
    <t xml:space="preserve">chauas_5_261_Tabebuia cassinoides</t>
  </si>
  <si>
    <t xml:space="preserve">chauas_5_262_Tabebuia cassinoides</t>
  </si>
  <si>
    <t xml:space="preserve">chauas_5_263_Tabebuia cassinoides</t>
  </si>
  <si>
    <t xml:space="preserve">chauas_5_264_Myrcia sulfiflora</t>
  </si>
  <si>
    <t xml:space="preserve">chauas_5_265_Myrcia sulfiflora</t>
  </si>
  <si>
    <t xml:space="preserve">chauas_5_266_Tabebuia cassinoides</t>
  </si>
  <si>
    <t xml:space="preserve">chauas_5_267_Tabebuia cassinoides</t>
  </si>
  <si>
    <t xml:space="preserve">chauas_5_268_Myrcia sulfiflora</t>
  </si>
  <si>
    <t xml:space="preserve">chauas_5_269_Tabebuia cassinoides</t>
  </si>
  <si>
    <t xml:space="preserve">chauas_5_270_Tabebuia cassinoides</t>
  </si>
  <si>
    <t xml:space="preserve">chauas_5_271_Tabebuia cassinoides</t>
  </si>
  <si>
    <t xml:space="preserve">chauas_5_272_Tabebuia cassinoides</t>
  </si>
  <si>
    <t xml:space="preserve">chauas_5_273_Myrcia sulfiflora</t>
  </si>
  <si>
    <t xml:space="preserve">chauas_5_274_Tabebuia cassinoides</t>
  </si>
  <si>
    <t xml:space="preserve">chauas_5_275_Myrcia sulfiflora</t>
  </si>
  <si>
    <t xml:space="preserve">chauas_5_276_Tabebuia cassinoides</t>
  </si>
  <si>
    <t xml:space="preserve">chauas_5_277_Tabebuia cassinoides</t>
  </si>
  <si>
    <t xml:space="preserve">chauas_5_278_Tabebuia cassinoides</t>
  </si>
  <si>
    <t xml:space="preserve">chauas_5_279_Tabebuia cassinoides</t>
  </si>
  <si>
    <t xml:space="preserve">chauas_5_280_Tabebuia cassinoides</t>
  </si>
  <si>
    <t xml:space="preserve">chauas_5_281_Tabebuia cassinoides</t>
  </si>
  <si>
    <t xml:space="preserve">chauas_5_282_Tabebuia cassinoides</t>
  </si>
  <si>
    <t xml:space="preserve">chauas_5_283_Tabebuia cassinoides</t>
  </si>
  <si>
    <t xml:space="preserve">chauas_5_284_Tabebuia cassinoides</t>
  </si>
  <si>
    <t xml:space="preserve">chauas_5_285_Myrcia sulfiflora</t>
  </si>
  <si>
    <t xml:space="preserve">chauas_5_286_Tabebuia cassinoides</t>
  </si>
  <si>
    <t xml:space="preserve">chauas_5_287_Tabebuia cassinoides</t>
  </si>
  <si>
    <t xml:space="preserve">chauas_5_288_Tabebuia cassinoides</t>
  </si>
  <si>
    <t xml:space="preserve">chauas_5_289_Tabebuia cassinoides</t>
  </si>
  <si>
    <t xml:space="preserve">chauas_5_290_Myrcia sulfiflora</t>
  </si>
  <si>
    <t xml:space="preserve">chauas_5_291_Myrcia sulfiflora</t>
  </si>
  <si>
    <t xml:space="preserve">jureia_1</t>
  </si>
  <si>
    <t xml:space="preserve">jureia_1_1_Tabebuia cassinoides</t>
  </si>
  <si>
    <t xml:space="preserve">jureia_1_2_Cabralea canjerana</t>
  </si>
  <si>
    <t xml:space="preserve">jureia_1_3_Tabebuia cassinoides</t>
  </si>
  <si>
    <t xml:space="preserve">jureia_1_4_Cabralea canjerana</t>
  </si>
  <si>
    <t xml:space="preserve">jureia_1_5_jussara</t>
  </si>
  <si>
    <t xml:space="preserve">jureia_1_6_Calophyllum brasiliensis</t>
  </si>
  <si>
    <t xml:space="preserve">jureia_1_7_jussara</t>
  </si>
  <si>
    <t xml:space="preserve">jureia_1_8_Pisonia sp</t>
  </si>
  <si>
    <t xml:space="preserve">jureia_1_9_Matayba sp</t>
  </si>
  <si>
    <t xml:space="preserve">jureia_1_10_Pera glabrata</t>
  </si>
  <si>
    <t xml:space="preserve">jureia_1_11_Cabralea canjerana</t>
  </si>
  <si>
    <t xml:space="preserve">jureia_1_12_jussara</t>
  </si>
  <si>
    <t xml:space="preserve">jureia_1_13_jussara</t>
  </si>
  <si>
    <t xml:space="preserve">jureia_1_14_jussara</t>
  </si>
  <si>
    <t xml:space="preserve">jureia_1_15_Psidium sp</t>
  </si>
  <si>
    <t xml:space="preserve">jureia_1_16_Tabebuia cassinoides</t>
  </si>
  <si>
    <t xml:space="preserve">jureia_1_17_Tabebuia cassinoides</t>
  </si>
  <si>
    <t xml:space="preserve">jureia_1_18_jussara</t>
  </si>
  <si>
    <t xml:space="preserve">jureia_1_19_Persea sp</t>
  </si>
  <si>
    <t xml:space="preserve">jureia_1_20_jussara</t>
  </si>
  <si>
    <t xml:space="preserve">jureia_1_21_jussara</t>
  </si>
  <si>
    <t xml:space="preserve">jureia_1_22_Tabebuia cassinoides</t>
  </si>
  <si>
    <t xml:space="preserve">jureia_1_23_Tabebuia cassinoides</t>
  </si>
  <si>
    <t xml:space="preserve">jureia_1_24_jussara</t>
  </si>
  <si>
    <t xml:space="preserve">jureia_1_25_Tabebuia cassinoides</t>
  </si>
  <si>
    <t xml:space="preserve">jureia_1_26_Tabebuia cassinoides</t>
  </si>
  <si>
    <t xml:space="preserve">jureia_1_27_Tabebuia cassinoides</t>
  </si>
  <si>
    <t xml:space="preserve">jureia_1_28_Tabebuia cassinoides</t>
  </si>
  <si>
    <t xml:space="preserve">jureia_1_29_Tabebuia cassinoides</t>
  </si>
  <si>
    <t xml:space="preserve">jureia_1_30_jussara</t>
  </si>
  <si>
    <t xml:space="preserve">jureia_1_31_jussara</t>
  </si>
  <si>
    <t xml:space="preserve">jureia_1_32_jussara</t>
  </si>
  <si>
    <t xml:space="preserve">jureia_1_33_Tabebuia cassinoides</t>
  </si>
  <si>
    <t xml:space="preserve">jureia_1_34_jussara</t>
  </si>
  <si>
    <t xml:space="preserve">jureia_1_35_Persea sp</t>
  </si>
  <si>
    <t xml:space="preserve">jureia_1_36_Tabebuia cassinoides</t>
  </si>
  <si>
    <t xml:space="preserve">jureia_1_37_Tabebuia cassinoides</t>
  </si>
  <si>
    <t xml:space="preserve">jureia_1_38_Ficus sp</t>
  </si>
  <si>
    <t xml:space="preserve">jureia_1_39_Tabebuia cassinoides</t>
  </si>
  <si>
    <t xml:space="preserve">jureia_1_40_jussara</t>
  </si>
  <si>
    <t xml:space="preserve">jureia_2</t>
  </si>
  <si>
    <t xml:space="preserve">jureia_2_41_Tabebuia cassinoides</t>
  </si>
  <si>
    <t xml:space="preserve">jureia_2_42_jussara</t>
  </si>
  <si>
    <t xml:space="preserve">jureia_2_43_jussara</t>
  </si>
  <si>
    <t xml:space="preserve">jureia_2_44_bombacaceae</t>
  </si>
  <si>
    <t xml:space="preserve">jureia_2_45_Tabebuia cassinoides</t>
  </si>
  <si>
    <t xml:space="preserve">jureia_2_46_Coussapoa macrocarpa</t>
  </si>
  <si>
    <t xml:space="preserve">jureia_2_47_jussara</t>
  </si>
  <si>
    <t xml:space="preserve">jureia_2_48_jussara</t>
  </si>
  <si>
    <t xml:space="preserve">jureia_2_49_Tabebuia cassinoides</t>
  </si>
  <si>
    <t xml:space="preserve">jureia_2_50_jussara</t>
  </si>
  <si>
    <t xml:space="preserve">jureia_2_51_Tabebuia cassinoides</t>
  </si>
  <si>
    <t xml:space="preserve">jureia_2_52_Tabebuia cassinoides</t>
  </si>
  <si>
    <t xml:space="preserve">jureia_2_53_Tabebuia cassinoides</t>
  </si>
  <si>
    <t xml:space="preserve">jureia_2_54_Pisonia sp</t>
  </si>
  <si>
    <t xml:space="preserve">jureia_2_55_jussara</t>
  </si>
  <si>
    <t xml:space="preserve">jureia_2_56_jussara</t>
  </si>
  <si>
    <t xml:space="preserve">jureia_2_57_Alchornea triplinervia</t>
  </si>
  <si>
    <t xml:space="preserve">jureia_2_58_Tabebuia cassinoides</t>
  </si>
  <si>
    <t xml:space="preserve">jureia_2_59_jussara</t>
  </si>
  <si>
    <t xml:space="preserve">jureia_2_60_Psidium sp</t>
  </si>
  <si>
    <t xml:space="preserve">jureia_2_61_Tabebuia cassinoides</t>
  </si>
  <si>
    <t xml:space="preserve">jureia_2_62_jussara</t>
  </si>
  <si>
    <t xml:space="preserve">jureia_2_63_jussara</t>
  </si>
  <si>
    <t xml:space="preserve">jureia_2_64_jussara</t>
  </si>
  <si>
    <t xml:space="preserve">jureia_2_65_Andira fraxinifolia</t>
  </si>
  <si>
    <t xml:space="preserve">jureia_2_66_Tabebuia cassinoides</t>
  </si>
  <si>
    <t xml:space="preserve">jureia_2_67_Tabebuia cassinoides</t>
  </si>
  <si>
    <t xml:space="preserve">jureia_2_68_Cabralea canjerana</t>
  </si>
  <si>
    <t xml:space="preserve">jureia_2_69_Tabebuia cassinoides</t>
  </si>
  <si>
    <t xml:space="preserve">jureia_2_70_Tabebuia cassinoides</t>
  </si>
  <si>
    <t xml:space="preserve">jureia_2_71_Tabebuia cassinoides</t>
  </si>
  <si>
    <t xml:space="preserve">jureia_2_72_Persea sp</t>
  </si>
  <si>
    <t xml:space="preserve">jureia_3</t>
  </si>
  <si>
    <t xml:space="preserve">jureia_3_73_Tabebuia cassinoides</t>
  </si>
  <si>
    <t xml:space="preserve">jureia_3_74_Tabebuia cassinoides</t>
  </si>
  <si>
    <t xml:space="preserve">jureia_3_75_Tabebuia cassinoides</t>
  </si>
  <si>
    <t xml:space="preserve">jureia_3_76_Cryptocaria moschata</t>
  </si>
  <si>
    <t xml:space="preserve">jureia_3_77_Tabebuia cassinoides</t>
  </si>
  <si>
    <t xml:space="preserve">jureia_3_78_Tabebuia cassinoides</t>
  </si>
  <si>
    <t xml:space="preserve">jureia_3_79_Tabebuia cassinoides</t>
  </si>
  <si>
    <t xml:space="preserve">jureia_3_80_Tabebuia cassinoides</t>
  </si>
  <si>
    <t xml:space="preserve">jureia_3_81_Calophyllum brasiliensis</t>
  </si>
  <si>
    <t xml:space="preserve">jureia_3_82_Gomidesia sp</t>
  </si>
  <si>
    <t xml:space="preserve">jureia_3_83_Calophyllum brasiliensis</t>
  </si>
  <si>
    <t xml:space="preserve">jureia_3_84_Andira fraxinifolia</t>
  </si>
  <si>
    <t xml:space="preserve">jureia_3_85_Andira fraxinifolia</t>
  </si>
  <si>
    <t xml:space="preserve">jureia_3_86_eugenia3</t>
  </si>
  <si>
    <t xml:space="preserve">jureia_3_87_Tabebuia cassinoides</t>
  </si>
  <si>
    <t xml:space="preserve">jureia_3_88_Ficus sp</t>
  </si>
  <si>
    <t xml:space="preserve">jureia_3_89_Tabebuia cassinoides</t>
  </si>
  <si>
    <t xml:space="preserve">jureia_3_90_Tabebuia cassinoides</t>
  </si>
  <si>
    <t xml:space="preserve">jureia_3_91_Tabebuia cassinoides</t>
  </si>
  <si>
    <t xml:space="preserve">jureia_3_92_Tabebuia cassinoides</t>
  </si>
  <si>
    <t xml:space="preserve">jureia_4</t>
  </si>
  <si>
    <t xml:space="preserve">jureia_4_93_jussara</t>
  </si>
  <si>
    <t xml:space="preserve">jureia_4_94_Tabebuia cassinoides</t>
  </si>
  <si>
    <t xml:space="preserve">jureia_4_95_Coussapoa macrocarpa</t>
  </si>
  <si>
    <t xml:space="preserve">jureia_4_96_Coussapoa macrocarpa</t>
  </si>
  <si>
    <t xml:space="preserve">jureia_4_97_jussara</t>
  </si>
  <si>
    <t xml:space="preserve">jureia_4_98_jussara</t>
  </si>
  <si>
    <t xml:space="preserve">jureia_4_99_Ilex durosa</t>
  </si>
  <si>
    <t xml:space="preserve">jureia_4_100_jussara</t>
  </si>
  <si>
    <t xml:space="preserve">jureia_4_101_jussara</t>
  </si>
  <si>
    <t xml:space="preserve">jureia_4_102_jussara</t>
  </si>
  <si>
    <t xml:space="preserve">jureia_4_103_jussara</t>
  </si>
  <si>
    <t xml:space="preserve">jureia_4_104_Inga sp</t>
  </si>
  <si>
    <t xml:space="preserve">jureia_4_105_Tabebuia cassinoides</t>
  </si>
  <si>
    <t xml:space="preserve">jureia_4_106_Calophyllum brasiliensis</t>
  </si>
  <si>
    <t xml:space="preserve">jureia_4_107_Tabebuia cassinoides</t>
  </si>
  <si>
    <t xml:space="preserve">jureia_4_108_Alchornea triplinervia</t>
  </si>
  <si>
    <t xml:space="preserve">jureia_4_109_jussara</t>
  </si>
  <si>
    <t xml:space="preserve">jureia_4_110_fabaceae1</t>
  </si>
  <si>
    <t xml:space="preserve">jureia_4_111_jussara</t>
  </si>
  <si>
    <t xml:space="preserve">jureia_4_112_jussara</t>
  </si>
  <si>
    <t xml:space="preserve">jureia_4_113_Tabebuia cassinoides</t>
  </si>
  <si>
    <t xml:space="preserve">jureia_4_114_jussara</t>
  </si>
  <si>
    <t xml:space="preserve">jureia_4_115_Tabebuia cassinoides</t>
  </si>
  <si>
    <t xml:space="preserve">jureia_4_116_Tabebuia cassinoides</t>
  </si>
  <si>
    <t xml:space="preserve">jureia_4_117_Tabebuia cassinoides</t>
  </si>
  <si>
    <t xml:space="preserve">jureia_4_117_Psidium sp</t>
  </si>
  <si>
    <t xml:space="preserve">jureia_4_118_jussara</t>
  </si>
  <si>
    <t xml:space="preserve">jureia_4_119_Tabebuia cassinoides</t>
  </si>
  <si>
    <t xml:space="preserve">jureia_4_120_Tabebuia cassinoides</t>
  </si>
  <si>
    <t xml:space="preserve">jureia_4_121_Tabebuia cassinoides</t>
  </si>
  <si>
    <t xml:space="preserve">jureia_4_122_Tabebuia cassinoides</t>
  </si>
  <si>
    <t xml:space="preserve">jureia_4_123_Tabebuia cassinoides</t>
  </si>
  <si>
    <t xml:space="preserve">jureia_4_124_Tabebuia cassinoides</t>
  </si>
  <si>
    <t xml:space="preserve">jureia_4_125_Tabebuia cassinoides</t>
  </si>
  <si>
    <t xml:space="preserve">jureia_4_126_Tabebuia cassinoides</t>
  </si>
  <si>
    <t xml:space="preserve">jureia_4_127_Tabebuia cassinoides</t>
  </si>
  <si>
    <t xml:space="preserve">jureia_4_128_Tabebuia cassinoides</t>
  </si>
  <si>
    <t xml:space="preserve">jureia_4_129_Inga sp</t>
  </si>
  <si>
    <t xml:space="preserve">jureia_4_130_Simplocos sp</t>
  </si>
  <si>
    <t xml:space="preserve">jureia_4_131_Tabebuia cassinoides</t>
  </si>
  <si>
    <t xml:space="preserve">jureia_5</t>
  </si>
  <si>
    <t xml:space="preserve">jureia_5_131_Tabebuia cassinoides</t>
  </si>
  <si>
    <t xml:space="preserve">jureia_5_132_Tabebuia cassinoides</t>
  </si>
  <si>
    <t xml:space="preserve">jureia_5_133_Tabebuia cassinoides</t>
  </si>
  <si>
    <t xml:space="preserve">jureia_5_134_Tabebuia cassinoides</t>
  </si>
  <si>
    <t xml:space="preserve">jureia_5_135_Psidium sp</t>
  </si>
  <si>
    <t xml:space="preserve">jureia_5_136_Tabebuia cassinoides</t>
  </si>
  <si>
    <t xml:space="preserve">jureia_5_137_Tabebuia cassinoides</t>
  </si>
  <si>
    <t xml:space="preserve">jureia_5_138_Ilex durosa</t>
  </si>
  <si>
    <t xml:space="preserve">jureia_5_139_Ilex durosa</t>
  </si>
  <si>
    <t xml:space="preserve">jureia_5_140_Tabebuia cassinoides</t>
  </si>
  <si>
    <t xml:space="preserve">jureia_5_141_Tabebuia cassinoides</t>
  </si>
  <si>
    <t xml:space="preserve">jureia_5_142_Tabebuia cassinoides</t>
  </si>
  <si>
    <t xml:space="preserve">jureia_5_143_Tabebuia cassinoides</t>
  </si>
  <si>
    <t xml:space="preserve">jureia_5_144_Tabebuia cassinoides</t>
  </si>
  <si>
    <t xml:space="preserve">jureia_5_145_Ilex durosa</t>
  </si>
  <si>
    <t xml:space="preserve">jureia_5_146_Tabebuia cassinoides</t>
  </si>
  <si>
    <t xml:space="preserve">jureia_5_147_Alchornea triplinervia</t>
  </si>
  <si>
    <t xml:space="preserve">jureia_5_148_Ilex durosa</t>
  </si>
  <si>
    <t xml:space="preserve">jureia_5_149_Ilex durosa</t>
  </si>
  <si>
    <t xml:space="preserve">jureia_5_150_Jacaranda puberula</t>
  </si>
  <si>
    <t xml:space="preserve">jureia_5_151_Tabebuia cassinoides</t>
  </si>
  <si>
    <t xml:space="preserve">jureia_5_152_Tabebuia cassinoides</t>
  </si>
  <si>
    <t xml:space="preserve">jureia_5_153_Tabebuia cassinoides</t>
  </si>
  <si>
    <t xml:space="preserve">jureia_5_154_Tabebuia cassinoides</t>
  </si>
  <si>
    <t xml:space="preserve">jureia_5_155_Tabebuia cassinoides</t>
  </si>
  <si>
    <t xml:space="preserve">jureia_5_156_Psidium sp</t>
  </si>
  <si>
    <t xml:space="preserve">jureia_5_157_Tabebuia cassinoides</t>
  </si>
  <si>
    <t xml:space="preserve">jureia_5_158_Psidium sp</t>
  </si>
  <si>
    <t xml:space="preserve">jureia_5_159_Inga sp</t>
  </si>
  <si>
    <t xml:space="preserve">jureia_5_160_Psidium sp</t>
  </si>
  <si>
    <t xml:space="preserve">jureia_5_161_Inga sp</t>
  </si>
  <si>
    <t xml:space="preserve">jureia_5_162_Psidium sp</t>
  </si>
  <si>
    <t xml:space="preserve">jureia_5_163_Tabebuia cassinoides</t>
  </si>
  <si>
    <t xml:space="preserve">jureia_5_164_Andira fraxinifolia</t>
  </si>
  <si>
    <t xml:space="preserve">jureia_5_170_Tabebuia cassinoides</t>
  </si>
  <si>
    <t xml:space="preserve">jureia_5_171_Tabebuia cassinoides</t>
  </si>
  <si>
    <t xml:space="preserve">jureia_5_172_Tabebuia cassinoides</t>
  </si>
  <si>
    <t xml:space="preserve">jureia_5_173_Tabebuia cassinoides</t>
  </si>
  <si>
    <t xml:space="preserve">jureia_5_174_Tabebuia cassinoides</t>
  </si>
  <si>
    <t xml:space="preserve">jureia_5_175_Tabebuia cassinoides</t>
  </si>
  <si>
    <t xml:space="preserve">jureia_5_176_Tabebuia cassinoides</t>
  </si>
  <si>
    <t xml:space="preserve">jureia_5_177_Tabebuia cassinoides</t>
  </si>
  <si>
    <t xml:space="preserve">jureia_5_178_Simplocos sp</t>
  </si>
  <si>
    <t xml:space="preserve">jureia_5_179_Tabebuia cassinoides</t>
  </si>
  <si>
    <t xml:space="preserve">jureia_5_180_Psidium sp</t>
  </si>
  <si>
    <t xml:space="preserve">jureia_5_181_Tabebuia cassinoides</t>
  </si>
  <si>
    <t xml:space="preserve">retiro_1</t>
  </si>
  <si>
    <t xml:space="preserve">retiro_1_1_Tabebuia cassinoides</t>
  </si>
  <si>
    <t xml:space="preserve">retiro_1_2_Tabebuia cassinoides</t>
  </si>
  <si>
    <t xml:space="preserve">retiro_1_3_Tabebuia cassinoides</t>
  </si>
  <si>
    <t xml:space="preserve">retiro_1_4_Tabebuia cassinoides</t>
  </si>
  <si>
    <t xml:space="preserve">retiro_1_5_Tabebuia cassinoides</t>
  </si>
  <si>
    <t xml:space="preserve">retiro_1_6_Mela 1</t>
  </si>
  <si>
    <t xml:space="preserve">retiro_1_7_Tabebuia cassinoides</t>
  </si>
  <si>
    <t xml:space="preserve">retiro_1_8_Tabebuia cassinoides</t>
  </si>
  <si>
    <t xml:space="preserve">retiro_1_9_Tabebuia cassinoides</t>
  </si>
  <si>
    <t xml:space="preserve">retiro_1_10_Tabebuia cassinoides</t>
  </si>
  <si>
    <t xml:space="preserve">retiro_1_11_Tabebuia cassinoides</t>
  </si>
  <si>
    <t xml:space="preserve">retiro_1_12_Tabebuia cassinoides</t>
  </si>
  <si>
    <t xml:space="preserve">retiro_1_13_Tabebuia cassinoides</t>
  </si>
  <si>
    <t xml:space="preserve">retiro_1_14_Ilex sp</t>
  </si>
  <si>
    <t xml:space="preserve">retiro_1_15_Tabebuia cassinoides</t>
  </si>
  <si>
    <t xml:space="preserve">retiro_1_16_Mela 1</t>
  </si>
  <si>
    <t xml:space="preserve">retiro_1_16_Tabebuia cassinoides</t>
  </si>
  <si>
    <t xml:space="preserve">retiro_1_17_Tabebuia cassinoides</t>
  </si>
  <si>
    <t xml:space="preserve">retiro_1_18_Tabebuia cassinoides</t>
  </si>
  <si>
    <t xml:space="preserve">retiro_1_19_Tabebuia cassinoides</t>
  </si>
  <si>
    <t xml:space="preserve">retiro_1_20_Tabebuia cassinoides</t>
  </si>
  <si>
    <t xml:space="preserve">retiro_1_21_Tabebuia cassinoides</t>
  </si>
  <si>
    <t xml:space="preserve">retiro_1_22_Tabebuia cassinoides</t>
  </si>
  <si>
    <t xml:space="preserve">retiro_1_23_Tabebuia cassinoides</t>
  </si>
  <si>
    <t xml:space="preserve">retiro_1_24_Tabebuia cassinoides</t>
  </si>
  <si>
    <t xml:space="preserve">retiro_1_25_Tabebuia cassinoides</t>
  </si>
  <si>
    <t xml:space="preserve">retiro_1_26_Tabebuia cassinoides</t>
  </si>
  <si>
    <t xml:space="preserve">retiro_1_27_Tabebuia cassinoides</t>
  </si>
  <si>
    <t xml:space="preserve">retiro_1_28_Tabebuia cassinoides</t>
  </si>
  <si>
    <t xml:space="preserve">retiro_1_29_Tabebuia cassinoides</t>
  </si>
  <si>
    <t xml:space="preserve">retiro_1_30_Tabebuia cassinoides</t>
  </si>
  <si>
    <t xml:space="preserve">retiro_1_31_Tabebuia cassinoides</t>
  </si>
  <si>
    <t xml:space="preserve">retiro_1_32_Tabebuia cassinoides</t>
  </si>
  <si>
    <t xml:space="preserve">retiro_1_33_Tabebuia cassinoides</t>
  </si>
  <si>
    <t xml:space="preserve">retiro_1_34_Tabebuia cassinoides</t>
  </si>
  <si>
    <t xml:space="preserve">retiro_1_35_Tabebuia cassinoides</t>
  </si>
  <si>
    <t xml:space="preserve">retiro_1_36_Tabebuia cassinoides</t>
  </si>
  <si>
    <t xml:space="preserve">retiro_1_37_Tabebuia cassinoides</t>
  </si>
  <si>
    <t xml:space="preserve">retiro_1_38_Tabebuia cassinoides</t>
  </si>
  <si>
    <t xml:space="preserve">retiro_1_39_Tabebuia cassinoides</t>
  </si>
  <si>
    <t xml:space="preserve">retiro_1_40_Tabebuia cassinoides</t>
  </si>
  <si>
    <t xml:space="preserve">retiro_1_41_Tabebuia cassinoides</t>
  </si>
  <si>
    <t xml:space="preserve">retiro_1_42_Myrtaceae 3</t>
  </si>
  <si>
    <t xml:space="preserve">retiro_1_43_Tabebuia cassinoides</t>
  </si>
  <si>
    <t xml:space="preserve">retiro_1_44_Alchornea triplinervia</t>
  </si>
  <si>
    <t xml:space="preserve">retiro_1_45_Tabebuia cassinoides</t>
  </si>
  <si>
    <t xml:space="preserve">retiro_1_46_Tabebuia cassinoides</t>
  </si>
  <si>
    <t xml:space="preserve">retiro_1_47_Tabebuia cassinoides</t>
  </si>
  <si>
    <t xml:space="preserve">retiro_1_48_Tabebuia cassinoides</t>
  </si>
  <si>
    <t xml:space="preserve">retiro_1_49_Tabebuia cassinoides</t>
  </si>
  <si>
    <t xml:space="preserve">retiro_1_50_Mela 1</t>
  </si>
  <si>
    <t xml:space="preserve">retiro_1_51_Tabebuia cassinoides</t>
  </si>
  <si>
    <t xml:space="preserve">retiro_1_52_Tabebuia cassinoides</t>
  </si>
  <si>
    <t xml:space="preserve">retiro_1_53_Tabebuia cassinoides</t>
  </si>
  <si>
    <t xml:space="preserve">retiro_1_54_Tabebuia cassinoides</t>
  </si>
  <si>
    <t xml:space="preserve">retiro_1_55_Tabebuia cassinoides</t>
  </si>
  <si>
    <t xml:space="preserve">retiro_1_56_Tabebuia cassinoides</t>
  </si>
  <si>
    <t xml:space="preserve">retiro_2</t>
  </si>
  <si>
    <t xml:space="preserve">retiro_2_57_Tabebuia cassinoides</t>
  </si>
  <si>
    <t xml:space="preserve">retiro_2_58_Tabebuia cassinoides</t>
  </si>
  <si>
    <t xml:space="preserve">retiro_2_59_Mela 1</t>
  </si>
  <si>
    <t xml:space="preserve">retiro_2_60_Tabebuia cassinoides</t>
  </si>
  <si>
    <t xml:space="preserve">retiro_2_61_Tabebuia cassinoides</t>
  </si>
  <si>
    <t xml:space="preserve">retiro_2_62_Tabebuia cassinoides</t>
  </si>
  <si>
    <t xml:space="preserve">retiro_2_63_Mela 1</t>
  </si>
  <si>
    <t xml:space="preserve">retiro_2_64_Coussapoa micropoda</t>
  </si>
  <si>
    <t xml:space="preserve">retiro_2_65_Coussapoa micropoda</t>
  </si>
  <si>
    <t xml:space="preserve">retiro_2_66_Coussapoa micropoda</t>
  </si>
  <si>
    <t xml:space="preserve">retiro_2_67_Alchornea triplinervia</t>
  </si>
  <si>
    <t xml:space="preserve">retiro_2_68_Tabebuia cassinoides</t>
  </si>
  <si>
    <t xml:space="preserve">retiro_2_69_Tabebuia cassinoides</t>
  </si>
  <si>
    <t xml:space="preserve">retiro_2_70_Tabebuia cassinoides</t>
  </si>
  <si>
    <t xml:space="preserve">retiro_2_71_Mela 1</t>
  </si>
  <si>
    <t xml:space="preserve">retiro_2_72_Tabebuia cassinoides</t>
  </si>
  <si>
    <t xml:space="preserve">retiro_2_73_Tabebuia cassinoides</t>
  </si>
  <si>
    <t xml:space="preserve">retiro_2_74_Tabebuia cassinoides</t>
  </si>
  <si>
    <t xml:space="preserve">retiro_2_75_Mela 2</t>
  </si>
  <si>
    <t xml:space="preserve">retiro_3</t>
  </si>
  <si>
    <t xml:space="preserve">retiro_3_76_Mela 1</t>
  </si>
  <si>
    <t xml:space="preserve">retiro_3_77_Tabebuia 1</t>
  </si>
  <si>
    <t xml:space="preserve">retiro_3_78_Eugenia oblongata</t>
  </si>
  <si>
    <t xml:space="preserve">retiro_3_79_Eugenia oblongata</t>
  </si>
  <si>
    <t xml:space="preserve">retiro_3_80_Mela 2</t>
  </si>
  <si>
    <t xml:space="preserve">retiro_3_81_Alchornea triplinervia</t>
  </si>
  <si>
    <t xml:space="preserve">retiro_3_82_Tabebuia 1</t>
  </si>
  <si>
    <t xml:space="preserve">retiro_3_83_Tabebuia 1</t>
  </si>
  <si>
    <t xml:space="preserve">retiro_3_84_Mela 1</t>
  </si>
  <si>
    <t xml:space="preserve">retiro_3_85_Mela 1</t>
  </si>
  <si>
    <t xml:space="preserve">retiro_3_86_Tabebuia cassinoides</t>
  </si>
  <si>
    <t xml:space="preserve">retiro_3_87_Mela 1</t>
  </si>
  <si>
    <t xml:space="preserve">retiro_3_88_Tabebuia cassinoides</t>
  </si>
  <si>
    <t xml:space="preserve">retiro_3_89_Tabebuia cassinoides</t>
  </si>
  <si>
    <t xml:space="preserve">retiro_3_90_Mela 1</t>
  </si>
  <si>
    <t xml:space="preserve">retiro_3_91_Mela 1</t>
  </si>
  <si>
    <t xml:space="preserve">retiro_3_92_Mela 1</t>
  </si>
  <si>
    <t xml:space="preserve">retiro_3_93_Mela 1</t>
  </si>
  <si>
    <t xml:space="preserve">retiro_3_94_Tabebuia cassinoides</t>
  </si>
  <si>
    <t xml:space="preserve">retiro_3_95_Mela 1</t>
  </si>
  <si>
    <t xml:space="preserve">retiro_3_96_Mela 1</t>
  </si>
  <si>
    <t xml:space="preserve">retiro_3_97_Mela 1</t>
  </si>
  <si>
    <t xml:space="preserve">retiro_3_98_Tabebuia cassinoides</t>
  </si>
  <si>
    <t xml:space="preserve">retiro_3_99_Ilex sp</t>
  </si>
  <si>
    <t xml:space="preserve">retiro_3_100_Tabebuia cassinoides</t>
  </si>
  <si>
    <t xml:space="preserve">retiro_3_101_Tabebuia cassinoides</t>
  </si>
  <si>
    <t xml:space="preserve">retiro_3_102_Cecropia sp</t>
  </si>
  <si>
    <t xml:space="preserve">retiro_3_103_Tabebuia cassinoides</t>
  </si>
  <si>
    <t xml:space="preserve">retiro_3_104_Tabebuia cassinoides</t>
  </si>
  <si>
    <t xml:space="preserve">retiro_3_105_Tabebuia cassinoides</t>
  </si>
  <si>
    <t xml:space="preserve">retiro_3_106_Cyathea sp</t>
  </si>
  <si>
    <t xml:space="preserve">retiro_3_107_Tabebuia cassinoides</t>
  </si>
  <si>
    <t xml:space="preserve">retiro_3_108_Solanum sp1</t>
  </si>
  <si>
    <t xml:space="preserve">retiro_3_109_Tabebuia cassinoides</t>
  </si>
  <si>
    <t xml:space="preserve">retiro_3_110_Tabebuia cassinoides</t>
  </si>
  <si>
    <t xml:space="preserve">retiro_3_111_Tabebuia cassinoides</t>
  </si>
  <si>
    <t xml:space="preserve">retiro_3_112_Mela 1</t>
  </si>
  <si>
    <t xml:space="preserve">retiro_3_113_Mela 1</t>
  </si>
  <si>
    <t xml:space="preserve">retiro_3_114_Solanum sp2</t>
  </si>
  <si>
    <t xml:space="preserve">retiro_3_115_Tabebuia cassinoides</t>
  </si>
  <si>
    <t xml:space="preserve">retiro_3_116_Tabebuia cassinoides</t>
  </si>
  <si>
    <t xml:space="preserve">retiro_3_117_Tabebuia cassinoides</t>
  </si>
  <si>
    <t xml:space="preserve">retiro_3_118_Tabebuia cassinoides</t>
  </si>
  <si>
    <t xml:space="preserve">retiro_3_119_Cyathea sp</t>
  </si>
  <si>
    <t xml:space="preserve">retiro_3_120_Tabebuia cassinoides</t>
  </si>
  <si>
    <t xml:space="preserve">retiro_3_121_Tabebuia cassinoides</t>
  </si>
  <si>
    <t xml:space="preserve">retiro_3_122_Tabebuia cassinoides</t>
  </si>
  <si>
    <t xml:space="preserve">retiro_3_123_Tabebuia cassinoides</t>
  </si>
  <si>
    <t xml:space="preserve">retiro_3_124_Tabebuia cassinoides</t>
  </si>
  <si>
    <t xml:space="preserve">retiro_3_125_Mela 1</t>
  </si>
  <si>
    <t xml:space="preserve">retiro_3_126_Tabebuia cassinoides</t>
  </si>
  <si>
    <t xml:space="preserve">retiro_3_127_Mela 1</t>
  </si>
  <si>
    <t xml:space="preserve">retiro_3_128_Tabebuia cassinoides</t>
  </si>
  <si>
    <t xml:space="preserve">retiro_3_129_Alchornea triplinervia</t>
  </si>
  <si>
    <t xml:space="preserve">retiro_3_130_Tabebuia cassinoides</t>
  </si>
  <si>
    <t xml:space="preserve">retiro_3_131_Mela 1</t>
  </si>
  <si>
    <t xml:space="preserve">retiro_3_132_Coussapoa micropoda</t>
  </si>
  <si>
    <t xml:space="preserve">retiro_3_133_Tabebuia cassinoides</t>
  </si>
  <si>
    <t xml:space="preserve">retiro_3_134_Tabebuia cassinoides</t>
  </si>
  <si>
    <t xml:space="preserve">retiro_3_135_Mela 1</t>
  </si>
  <si>
    <t xml:space="preserve">retiro_3_136_Tabebuia cassinoides</t>
  </si>
  <si>
    <t xml:space="preserve">retiro_3_137_Tabebuia cassinoides</t>
  </si>
  <si>
    <t xml:space="preserve">retiro_3_138_Mela 1</t>
  </si>
  <si>
    <t xml:space="preserve">retiro_4</t>
  </si>
  <si>
    <t xml:space="preserve">retiro_4_139_Tabebuia cassinoides</t>
  </si>
  <si>
    <t xml:space="preserve">retiro_4_140_Tabebuia cassinoides</t>
  </si>
  <si>
    <t xml:space="preserve">retiro_4_141_Tabebuia cassinoides</t>
  </si>
  <si>
    <t xml:space="preserve">retiro_4_142_Tabebuia cassinoides</t>
  </si>
  <si>
    <t xml:space="preserve">retiro_4_143_Mela 1</t>
  </si>
  <si>
    <t xml:space="preserve">retiro_4_144_Tabebuia cassinoides</t>
  </si>
  <si>
    <t xml:space="preserve">retiro_4_145_Tabebuia cassinoides</t>
  </si>
  <si>
    <t xml:space="preserve">retiro_4_146_Tabebuia cassinoides</t>
  </si>
  <si>
    <t xml:space="preserve">retiro_4_147_Tabebuia cassinoides</t>
  </si>
  <si>
    <t xml:space="preserve">retiro_4_148_Tabebuia cassinoides</t>
  </si>
  <si>
    <t xml:space="preserve">retiro_4_149_Tabebuia cassinoides</t>
  </si>
  <si>
    <t xml:space="preserve">retiro_4_150_Mela 1</t>
  </si>
  <si>
    <t xml:space="preserve">retiro_4_151_Tabebuia cassinoides</t>
  </si>
  <si>
    <t xml:space="preserve">retiro_4_152_Mela 1</t>
  </si>
  <si>
    <t xml:space="preserve">retiro_4_153_Tabebuia cassinoides</t>
  </si>
  <si>
    <t xml:space="preserve">retiro_4_154_Tabebuia cassinoides</t>
  </si>
  <si>
    <t xml:space="preserve">retiro_4_155_Tabebuia cassinoides</t>
  </si>
  <si>
    <t xml:space="preserve">retiro_4_156_Mela 1</t>
  </si>
  <si>
    <t xml:space="preserve">retiro_4_157_Tabebuia cassinoides</t>
  </si>
  <si>
    <t xml:space="preserve">retiro_4_158_Tabebuia cassinoides</t>
  </si>
  <si>
    <t xml:space="preserve">retiro_4_159_Tabebuia cassinoides</t>
  </si>
  <si>
    <t xml:space="preserve">retiro_4_160_Tabebuia cassinoides</t>
  </si>
  <si>
    <t xml:space="preserve">retiro_4_161_Tabebuia cassinoides</t>
  </si>
  <si>
    <t xml:space="preserve">retiro_4_162_Tabebuia cassinoides</t>
  </si>
  <si>
    <t xml:space="preserve">retiro_4_163_Tabebuia cassinoides</t>
  </si>
  <si>
    <t xml:space="preserve">retiro_4_164_Mela 1</t>
  </si>
  <si>
    <t xml:space="preserve">retiro_4_165_Tabebuia cassinoides</t>
  </si>
  <si>
    <t xml:space="preserve">retiro_4_166_Tabebuia cassinoides</t>
  </si>
  <si>
    <t xml:space="preserve">retiro_4_167_Tabebuia cassinoides</t>
  </si>
  <si>
    <t xml:space="preserve">retiro_4_168_Tabebuia cassinoides</t>
  </si>
  <si>
    <t xml:space="preserve">retiro_4_169_Mela 1</t>
  </si>
  <si>
    <t xml:space="preserve">retiro_4_170_Tabebuia cassinoides</t>
  </si>
  <si>
    <t xml:space="preserve">retiro_4_171_Tabebuia cassinoides</t>
  </si>
  <si>
    <t xml:space="preserve">retiro_4_172_Mela 1</t>
  </si>
  <si>
    <t xml:space="preserve">retiro_4_173_Tabebuia cassinoides</t>
  </si>
  <si>
    <t xml:space="preserve">retiro_4_174_Mela 1</t>
  </si>
  <si>
    <t xml:space="preserve">retiro_4_175_Tabebuia cassinoides</t>
  </si>
  <si>
    <t xml:space="preserve">retiro_4_176_Tabebuia cassinoides</t>
  </si>
  <si>
    <t xml:space="preserve">retiro_4_177_Tabebuia cassinoides</t>
  </si>
  <si>
    <t xml:space="preserve">retiro_4_178_Tabebuia cassinoides</t>
  </si>
  <si>
    <t xml:space="preserve">retiro_4_179_Tabebuia cassinoides</t>
  </si>
  <si>
    <t xml:space="preserve">retiro_4_180_Mela 1</t>
  </si>
  <si>
    <t xml:space="preserve">retiro_4_181_Mela 1</t>
  </si>
  <si>
    <t xml:space="preserve">retiro_4_182_Mela 1</t>
  </si>
  <si>
    <t xml:space="preserve">retiro_4_183_Mela 1</t>
  </si>
  <si>
    <t xml:space="preserve">retiro_4_184_Mela 1</t>
  </si>
  <si>
    <t xml:space="preserve">retiro_4_185_Mela 1</t>
  </si>
  <si>
    <t xml:space="preserve">retiro_4_186_Tabebuia cassinoides</t>
  </si>
  <si>
    <t xml:space="preserve">retiro_4_187_Tabebuia cassinoides</t>
  </si>
  <si>
    <t xml:space="preserve">retiro_4_188_Tabebuia cassinoides</t>
  </si>
  <si>
    <t xml:space="preserve">retiro_4_189_Mela 1</t>
  </si>
  <si>
    <t xml:space="preserve">retiro_4_190_Mela 1</t>
  </si>
  <si>
    <t xml:space="preserve">retiro_4_191_Mela 1</t>
  </si>
  <si>
    <t xml:space="preserve">retiro_5</t>
  </si>
  <si>
    <t xml:space="preserve">retiro_5_192_Coussapoa micropoda</t>
  </si>
  <si>
    <t xml:space="preserve">retiro_5_193_Tabebuia cassinoides</t>
  </si>
  <si>
    <t xml:space="preserve">retiro_5_194_Tabebuia cassinoides</t>
  </si>
  <si>
    <t xml:space="preserve">retiro_5_195_Tabebuia cassinoides</t>
  </si>
  <si>
    <t xml:space="preserve">retiro_5_196_Coussapoa micropoda</t>
  </si>
  <si>
    <t xml:space="preserve">retiro_5_197_Mela 1</t>
  </si>
  <si>
    <t xml:space="preserve">retiro_5_198_Tabebuia cassinoides</t>
  </si>
  <si>
    <t xml:space="preserve">retiro_5_199_Mela 1</t>
  </si>
  <si>
    <t xml:space="preserve">retiro_5_200_Mela 1</t>
  </si>
  <si>
    <t xml:space="preserve">retiro_5_201_Mela 1</t>
  </si>
  <si>
    <t xml:space="preserve">retiro_5_202_Mela 1</t>
  </si>
  <si>
    <t xml:space="preserve">retiro_5_203_Mela 1</t>
  </si>
  <si>
    <t xml:space="preserve">total</t>
  </si>
  <si>
    <t xml:space="preserve">Número de árvores de cada espécie por parcela. Uma célula &gt; 0 = espécie presente (usado na frequência). Esta matriz será usada de novo na aula de associação e similaridade.</t>
  </si>
  <si>
    <t xml:space="preserve">Parâmetros fitossociológicos da estrutura horizontal</t>
  </si>
  <si>
    <t xml:space="preserve">Caixetal</t>
  </si>
  <si>
    <t xml:space="preserve">todos</t>
  </si>
  <si>
    <t xml:space="preserve">← escolha: todos, chauas, jureia ou retiro</t>
  </si>
  <si>
    <t xml:space="preserve">Fórmulas</t>
  </si>
  <si>
    <t xml:space="preserve">Área da parcela (ha)</t>
  </si>
  <si>
    <t xml:space="preserve">DA = n/A ; DR = 100·n/N</t>
  </si>
  <si>
    <t xml:space="preserve">critério (interno)</t>
  </si>
  <si>
    <t xml:space="preserve">FA = 100·Ui/UT ; FR = 100·FA/ΣFA</t>
  </si>
  <si>
    <t xml:space="preserve">UT (nº de parcelas)</t>
  </si>
  <si>
    <t xml:space="preserve">DoA = G/A ; DoR = 100·G/ΣG</t>
  </si>
  <si>
    <t xml:space="preserve">A (área amostrada, ha)</t>
  </si>
  <si>
    <t xml:space="preserve">VI = DR+FR+DoR (VI% = VI/3) ; VC = DR+DoR (VC% = VC/2)</t>
  </si>
  <si>
    <t xml:space="preserve">Espécie</t>
  </si>
  <si>
    <t xml:space="preserve">n (árvores)</t>
  </si>
  <si>
    <t xml:space="preserve">Ui (parcelas)</t>
  </si>
  <si>
    <t xml:space="preserve">G (m²)</t>
  </si>
  <si>
    <t xml:space="preserve">DA (árv./ha)</t>
  </si>
  <si>
    <t xml:space="preserve">DR (%)</t>
  </si>
  <si>
    <t xml:space="preserve">FA (%)</t>
  </si>
  <si>
    <t xml:space="preserve">FR (%)</t>
  </si>
  <si>
    <t xml:space="preserve">DoA (m²/ha)</t>
  </si>
  <si>
    <t xml:space="preserve">DoR (%)</t>
  </si>
  <si>
    <t xml:space="preserve">VI</t>
  </si>
  <si>
    <t xml:space="preserve">VI (%)</t>
  </si>
  <si>
    <t xml:space="preserve">VC</t>
  </si>
  <si>
    <t xml:space="preserve">VC (%)</t>
  </si>
  <si>
    <t xml:space="preserve">Posto (VI)</t>
  </si>
  <si>
    <t xml:space="preserve">Total</t>
  </si>
  <si>
    <t xml:space="preserve">Riqueza (espécies presentes)</t>
  </si>
  <si>
    <t xml:space="preserve">Dica: para ordenar por VI, copie a tabela e cole como valores em outra aba, ou use Dados &gt; Classificar pela coluna Posto. As espécies estão listadas pela ordem de VI do conjunto total (15 parcelas).</t>
  </si>
  <si>
    <t xml:space="preserve">Passo a passo para uma espécie</t>
  </si>
  <si>
    <t xml:space="preserve">(mude na aba parametros, célula B3)</t>
  </si>
  <si>
    <t xml:space="preserve">Etapa</t>
  </si>
  <si>
    <t xml:space="preserve">Símbolo</t>
  </si>
  <si>
    <t xml:space="preserve">Valor</t>
  </si>
  <si>
    <t xml:space="preserve">Como calcular</t>
  </si>
  <si>
    <t xml:space="preserve">Árvores da espécie</t>
  </si>
  <si>
    <t xml:space="preserve">n</t>
  </si>
  <si>
    <t xml:space="preserve">contar as árvores (não os fustes) da espécie</t>
  </si>
  <si>
    <t xml:space="preserve">Total de árvores</t>
  </si>
  <si>
    <t xml:space="preserve">N</t>
  </si>
  <si>
    <t xml:space="preserve">contar todas as árvores</t>
  </si>
  <si>
    <t xml:space="preserve">Área amostrada (ha)</t>
  </si>
  <si>
    <t xml:space="preserve">A</t>
  </si>
  <si>
    <t xml:space="preserve">nº de parcelas × 0,02 ha</t>
  </si>
  <si>
    <t xml:space="preserve">Parcelas com a espécie</t>
  </si>
  <si>
    <t xml:space="preserve">Ui</t>
  </si>
  <si>
    <t xml:space="preserve">contar as parcelas onde a espécie aparece</t>
  </si>
  <si>
    <t xml:space="preserve">Total de parcelas</t>
  </si>
  <si>
    <t xml:space="preserve">UT</t>
  </si>
  <si>
    <t xml:space="preserve">nº de parcelas amostradas</t>
  </si>
  <si>
    <t xml:space="preserve">Soma das FA de todas as espécies</t>
  </si>
  <si>
    <t xml:space="preserve">ΣFA</t>
  </si>
  <si>
    <t xml:space="preserve">somar a coluna FA</t>
  </si>
  <si>
    <t xml:space="preserve">Área basal da espécie (m²)</t>
  </si>
  <si>
    <t xml:space="preserve">G</t>
  </si>
  <si>
    <t xml:space="preserve">somar g = π·DAP²/40000 de todos os fustes da espécie</t>
  </si>
  <si>
    <t xml:space="preserve">Área basal total (m²)</t>
  </si>
  <si>
    <t xml:space="preserve">ΣG</t>
  </si>
  <si>
    <t xml:space="preserve">somar g de todos os fustes</t>
  </si>
  <si>
    <t xml:space="preserve">Densidade absoluta (árv./ha)</t>
  </si>
  <si>
    <t xml:space="preserve">DA</t>
  </si>
  <si>
    <t xml:space="preserve">n / A</t>
  </si>
  <si>
    <t xml:space="preserve">Densidade relativa (%)</t>
  </si>
  <si>
    <t xml:space="preserve">DR</t>
  </si>
  <si>
    <t xml:space="preserve">100 · n / N</t>
  </si>
  <si>
    <t xml:space="preserve">Frequência absoluta (%)</t>
  </si>
  <si>
    <t xml:space="preserve">FA</t>
  </si>
  <si>
    <t xml:space="preserve">100 · Ui / UT</t>
  </si>
  <si>
    <t xml:space="preserve">Frequência relativa (%)</t>
  </si>
  <si>
    <t xml:space="preserve">FR</t>
  </si>
  <si>
    <t xml:space="preserve">100 · FA / ΣFA</t>
  </si>
  <si>
    <t xml:space="preserve">Dominância absoluta (m²/ha)</t>
  </si>
  <si>
    <t xml:space="preserve">DoA</t>
  </si>
  <si>
    <t xml:space="preserve">G / A</t>
  </si>
  <si>
    <t xml:space="preserve">Dominância relativa (%)</t>
  </si>
  <si>
    <t xml:space="preserve">DoR</t>
  </si>
  <si>
    <t xml:space="preserve">100 · G / ΣG</t>
  </si>
  <si>
    <t xml:space="preserve">Valor de importância</t>
  </si>
  <si>
    <t xml:space="preserve">DR + FR + DoR (máximo 300)</t>
  </si>
  <si>
    <t xml:space="preserve">Valor de importância (%)</t>
  </si>
  <si>
    <t xml:space="preserve">VI%</t>
  </si>
  <si>
    <t xml:space="preserve">VI / 3 (máximo 100)</t>
  </si>
  <si>
    <t xml:space="preserve">Valor de cobertura</t>
  </si>
  <si>
    <t xml:space="preserve">DR + DoR (máximo 200)</t>
  </si>
  <si>
    <t xml:space="preserve">Valor de cobertura (%)</t>
  </si>
  <si>
    <t xml:space="preserve">VC%</t>
  </si>
  <si>
    <t xml:space="preserve">VC / 2 (máximo 100)</t>
  </si>
  <si>
    <t xml:space="preserve">Estrutura diamétrica e vertical (por árvore, DAP equivalente)</t>
  </si>
  <si>
    <t xml:space="preserve">Amplitude da classe de DAP (cm)</t>
  </si>
  <si>
    <t xml:space="preserve">Classe (cm)</t>
  </si>
  <si>
    <t xml:space="preserve">Lim. inf.</t>
  </si>
  <si>
    <t xml:space="preserve">Lim. sup.</t>
  </si>
  <si>
    <t xml:space="preserve">Centro</t>
  </si>
  <si>
    <t xml:space="preserve">Total (árv./ha)</t>
  </si>
  <si>
    <t xml:space="preserve">q = n(j)/n(j+1)</t>
  </si>
  <si>
    <t xml:space="preserve">Árvores com DAP eq. acima da última classe:</t>
  </si>
  <si>
    <t xml:space="preserve">Estratos de altura (Souza 1990): inferior H &lt; Hm − s; médio entre Hm ± s; superior H &gt; Hm + s</t>
  </si>
  <si>
    <t xml:space="preserve">Altura média Hm (m)</t>
  </si>
  <si>
    <t xml:space="preserve">Desvio-padrão s (m)</t>
  </si>
  <si>
    <t xml:space="preserve">Hm − s</t>
  </si>
  <si>
    <t xml:space="preserve">Hm + s</t>
  </si>
  <si>
    <t xml:space="preserve">Estrato</t>
  </si>
  <si>
    <t xml:space="preserve">inferior</t>
  </si>
  <si>
    <t xml:space="preserve">médio</t>
  </si>
  <si>
    <t xml:space="preserve">superior</t>
  </si>
  <si>
    <t xml:space="preserve">Obs.: a 1ª classe (0–5 cm) tem poucas árvores por causa do critério de inclusão do levantamento, não por falta de regeneração.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</si>
</sst>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0"/>
    <numFmt numFmtId="166" formatCode="0.000"/>
    <numFmt numFmtId="167" formatCode="0.0000"/>
    <numFmt numFmtId="168" formatCode="0.0"/>
    <numFmt numFmtId="169" formatCode="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275317"/>
      <name val="Arial"/>
      <family val="0"/>
      <charset val="1"/>
    </font>
    <font>
      <sz val="11"/>
      <name val="Arial"/>
      <family val="0"/>
      <charset val="1"/>
    </font>
    <font>
      <sz val="11"/>
      <color theme="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10"/>
      <name val="Arial"/>
      <family val="2"/>
    </font>
    <font>
      <i val="true"/>
      <sz val="11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275317"/>
        <bgColor rgb="FF333333"/>
      </patternFill>
    </fill>
    <fill>
      <patternFill patternType="solid">
        <fgColor rgb="FFE2EFDA"/>
        <bgColor rgb="FFD9D9D9"/>
      </patternFill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C0504D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4F81BD"/>
      <rgbColor rgb="FF969696"/>
      <rgbColor rgb="FF003366"/>
      <rgbColor rgb="FF339966"/>
      <rgbColor rgb="FF003300"/>
      <rgbColor rgb="FF275317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Distribuição diamétrica por caixetal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estrutura!E5</c:f>
              <c:strCache>
                <c:ptCount val="1"/>
                <c:pt idx="0">
                  <c:v>chauas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estrutura!$A$6:$A$19</c:f>
              <c:strCache>
                <c:ptCount val="14"/>
                <c:pt idx="0">
                  <c:v>0–5</c:v>
                </c:pt>
                <c:pt idx="1">
                  <c:v>5–10</c:v>
                </c:pt>
                <c:pt idx="2">
                  <c:v>10–15</c:v>
                </c:pt>
                <c:pt idx="3">
                  <c:v>15–20</c:v>
                </c:pt>
                <c:pt idx="4">
                  <c:v>20–25</c:v>
                </c:pt>
                <c:pt idx="5">
                  <c:v>25–30</c:v>
                </c:pt>
                <c:pt idx="6">
                  <c:v>30–35</c:v>
                </c:pt>
                <c:pt idx="7">
                  <c:v>35–40</c:v>
                </c:pt>
                <c:pt idx="8">
                  <c:v>40–45</c:v>
                </c:pt>
                <c:pt idx="9">
                  <c:v>45–50</c:v>
                </c:pt>
                <c:pt idx="10">
                  <c:v>50–55</c:v>
                </c:pt>
                <c:pt idx="11">
                  <c:v>55–60</c:v>
                </c:pt>
                <c:pt idx="12">
                  <c:v>60–65</c:v>
                </c:pt>
                <c:pt idx="13">
                  <c:v>65–70</c:v>
                </c:pt>
              </c:strCache>
            </c:strRef>
          </c:cat>
          <c:val>
            <c:numRef>
              <c:f>estrutura!$E$6:$E$19</c:f>
              <c:numCache>
                <c:formatCode>General</c:formatCode>
                <c:ptCount val="14"/>
                <c:pt idx="0">
                  <c:v>5</c:v>
                </c:pt>
                <c:pt idx="1">
                  <c:v>127</c:v>
                </c:pt>
                <c:pt idx="2">
                  <c:v>106</c:v>
                </c:pt>
                <c:pt idx="3">
                  <c:v>33</c:v>
                </c:pt>
                <c:pt idx="4">
                  <c:v>12</c:v>
                </c:pt>
                <c:pt idx="5">
                  <c:v>4</c:v>
                </c:pt>
                <c:pt idx="6">
                  <c:v>1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</c:ser>
        <c:ser>
          <c:idx val="1"/>
          <c:order val="1"/>
          <c:tx>
            <c:strRef>
              <c:f>estrutura!F5</c:f>
              <c:strCache>
                <c:ptCount val="1"/>
                <c:pt idx="0">
                  <c:v>jureia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estrutura!$A$6:$A$19</c:f>
              <c:strCache>
                <c:ptCount val="14"/>
                <c:pt idx="0">
                  <c:v>0–5</c:v>
                </c:pt>
                <c:pt idx="1">
                  <c:v>5–10</c:v>
                </c:pt>
                <c:pt idx="2">
                  <c:v>10–15</c:v>
                </c:pt>
                <c:pt idx="3">
                  <c:v>15–20</c:v>
                </c:pt>
                <c:pt idx="4">
                  <c:v>20–25</c:v>
                </c:pt>
                <c:pt idx="5">
                  <c:v>25–30</c:v>
                </c:pt>
                <c:pt idx="6">
                  <c:v>30–35</c:v>
                </c:pt>
                <c:pt idx="7">
                  <c:v>35–40</c:v>
                </c:pt>
                <c:pt idx="8">
                  <c:v>40–45</c:v>
                </c:pt>
                <c:pt idx="9">
                  <c:v>45–50</c:v>
                </c:pt>
                <c:pt idx="10">
                  <c:v>50–55</c:v>
                </c:pt>
                <c:pt idx="11">
                  <c:v>55–60</c:v>
                </c:pt>
                <c:pt idx="12">
                  <c:v>60–65</c:v>
                </c:pt>
                <c:pt idx="13">
                  <c:v>65–70</c:v>
                </c:pt>
              </c:strCache>
            </c:strRef>
          </c:cat>
          <c:val>
            <c:numRef>
              <c:f>estrutura!$F$6:$F$19</c:f>
              <c:numCache>
                <c:formatCode>General</c:formatCode>
                <c:ptCount val="14"/>
                <c:pt idx="0">
                  <c:v>0</c:v>
                </c:pt>
                <c:pt idx="1">
                  <c:v>59</c:v>
                </c:pt>
                <c:pt idx="2">
                  <c:v>51</c:v>
                </c:pt>
                <c:pt idx="3">
                  <c:v>36</c:v>
                </c:pt>
                <c:pt idx="4">
                  <c:v>14</c:v>
                </c:pt>
                <c:pt idx="5">
                  <c:v>9</c:v>
                </c:pt>
                <c:pt idx="6">
                  <c:v>4</c:v>
                </c:pt>
                <c:pt idx="7">
                  <c:v>3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</c:numCache>
            </c:numRef>
          </c:val>
        </c:ser>
        <c:ser>
          <c:idx val="2"/>
          <c:order val="2"/>
          <c:tx>
            <c:strRef>
              <c:f>estrutura!G5</c:f>
              <c:strCache>
                <c:ptCount val="1"/>
                <c:pt idx="0">
                  <c:v>retiro</c:v>
                </c:pt>
              </c:strCache>
            </c:strRef>
          </c:tx>
          <c:spPr>
            <a:solidFill>
              <a:srgbClr val="9bbb59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estrutura!$A$6:$A$19</c:f>
              <c:strCache>
                <c:ptCount val="14"/>
                <c:pt idx="0">
                  <c:v>0–5</c:v>
                </c:pt>
                <c:pt idx="1">
                  <c:v>5–10</c:v>
                </c:pt>
                <c:pt idx="2">
                  <c:v>10–15</c:v>
                </c:pt>
                <c:pt idx="3">
                  <c:v>15–20</c:v>
                </c:pt>
                <c:pt idx="4">
                  <c:v>20–25</c:v>
                </c:pt>
                <c:pt idx="5">
                  <c:v>25–30</c:v>
                </c:pt>
                <c:pt idx="6">
                  <c:v>30–35</c:v>
                </c:pt>
                <c:pt idx="7">
                  <c:v>35–40</c:v>
                </c:pt>
                <c:pt idx="8">
                  <c:v>40–45</c:v>
                </c:pt>
                <c:pt idx="9">
                  <c:v>45–50</c:v>
                </c:pt>
                <c:pt idx="10">
                  <c:v>50–55</c:v>
                </c:pt>
                <c:pt idx="11">
                  <c:v>55–60</c:v>
                </c:pt>
                <c:pt idx="12">
                  <c:v>60–65</c:v>
                </c:pt>
                <c:pt idx="13">
                  <c:v>65–70</c:v>
                </c:pt>
              </c:strCache>
            </c:strRef>
          </c:cat>
          <c:val>
            <c:numRef>
              <c:f>estrutura!$G$6:$G$19</c:f>
              <c:numCache>
                <c:formatCode>General</c:formatCode>
                <c:ptCount val="14"/>
                <c:pt idx="0">
                  <c:v>11</c:v>
                </c:pt>
                <c:pt idx="1">
                  <c:v>109</c:v>
                </c:pt>
                <c:pt idx="2">
                  <c:v>52</c:v>
                </c:pt>
                <c:pt idx="3">
                  <c:v>19</c:v>
                </c:pt>
                <c:pt idx="4">
                  <c:v>9</c:v>
                </c:pt>
                <c:pt idx="5">
                  <c:v>3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</c:ser>
        <c:gapWidth val="40"/>
        <c:overlap val="0"/>
        <c:axId val="57825379"/>
        <c:axId val="33502163"/>
      </c:barChart>
      <c:catAx>
        <c:axId val="57825379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Classe de DAP equivalente (cm)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3502163"/>
        <c:crosses val="autoZero"/>
        <c:auto val="1"/>
        <c:lblAlgn val="ctr"/>
        <c:lblOffset val="100"/>
        <c:noMultiLvlLbl val="0"/>
      </c:catAx>
      <c:valAx>
        <c:axId val="3350216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Árvores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7825379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11</xdr:col>
      <xdr:colOff>0</xdr:colOff>
      <xdr:row>1</xdr:row>
      <xdr:rowOff>160560</xdr:rowOff>
    </xdr:from>
    <xdr:to>
      <xdr:col>20</xdr:col>
      <xdr:colOff>255960</xdr:colOff>
      <xdr:row>16</xdr:row>
      <xdr:rowOff>32040</xdr:rowOff>
    </xdr:to>
    <xdr:graphicFrame>
      <xdr:nvGraphicFramePr>
        <xdr:cNvPr id="0" name="Chart 1"/>
        <xdr:cNvGraphicFramePr/>
      </xdr:nvGraphicFramePr>
      <xdr:xfrm>
        <a:off x="9986040" y="380880"/>
        <a:ext cx="575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4" customFormat="false" ht="15" hidden="false" customHeight="false" outlineLevel="0" collapsed="false">
      <c r="A4" s="4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 t="s">
        <v>8</v>
      </c>
    </row>
    <row r="11" customFormat="false" ht="15" hidden="false" customHeight="false" outlineLevel="0" collapsed="false">
      <c r="A11" s="3"/>
    </row>
    <row r="12" customFormat="false" ht="15" hidden="false" customHeight="false" outlineLevel="0" collapsed="false">
      <c r="A12" s="4" t="s">
        <v>9</v>
      </c>
    </row>
    <row r="13" customFormat="false" ht="1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3"/>
    </row>
    <row r="15" customFormat="false" ht="15" hidden="false" customHeight="false" outlineLevel="0" collapsed="false">
      <c r="A15" s="4" t="s">
        <v>11</v>
      </c>
    </row>
    <row r="16" customFormat="false" ht="15" hidden="false" customHeight="false" outlineLevel="0" collapsed="false">
      <c r="A16" s="2" t="s">
        <v>12</v>
      </c>
    </row>
    <row r="17" customFormat="false" ht="15" hidden="false" customHeight="false" outlineLevel="0" collapsed="false">
      <c r="A17" s="2" t="s">
        <v>13</v>
      </c>
    </row>
    <row r="18" customFormat="false" ht="15" hidden="false" customHeight="false" outlineLevel="0" collapsed="false">
      <c r="A18" s="2" t="s">
        <v>14</v>
      </c>
    </row>
    <row r="19" customFormat="false" ht="15" hidden="false" customHeight="false" outlineLevel="0" collapsed="false">
      <c r="A19" s="3"/>
    </row>
    <row r="20" customFormat="false" ht="15" hidden="false" customHeight="false" outlineLevel="0" collapsed="false">
      <c r="A20" s="2" t="s">
        <v>15</v>
      </c>
    </row>
    <row r="21" customFormat="false" ht="15" hidden="false" customHeight="false" outlineLevel="0" collapsed="false">
      <c r="A21" s="2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0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3" min="2" style="0" width="8"/>
    <col collapsed="false" customWidth="true" hidden="false" outlineLevel="0" max="4" min="4" style="0" width="7"/>
    <col collapsed="false" customWidth="true" hidden="false" outlineLevel="0" max="5" min="5" style="0" width="9"/>
    <col collapsed="false" customWidth="true" hidden="false" outlineLevel="0" max="6" min="6" style="0" width="8"/>
    <col collapsed="false" customWidth="true" hidden="false" outlineLevel="0" max="7" min="7" style="0" width="28"/>
    <col collapsed="false" customWidth="true" hidden="false" outlineLevel="0" max="8" min="8" style="0" width="11"/>
    <col collapsed="false" customWidth="true" hidden="false" outlineLevel="0" max="9" min="9" style="0" width="30"/>
    <col collapsed="false" customWidth="true" hidden="false" outlineLevel="0" max="10" min="10" style="0" width="11"/>
    <col collapsed="false" customWidth="true" hidden="false" outlineLevel="0" max="13" min="11" style="0" width="9"/>
    <col collapsed="false" customWidth="true" hidden="false" outlineLevel="0" max="14" min="14" style="0" width="8"/>
    <col collapsed="false" customWidth="true" hidden="false" outlineLevel="0" max="15" min="15" style="0" width="3"/>
    <col collapsed="false" customWidth="true" hidden="false" outlineLevel="0" max="16" min="16" style="0" width="26"/>
  </cols>
  <sheetData>
    <row r="1" customFormat="false" ht="26.85" hidden="false" customHeight="false" outlineLevel="0" collapsed="false">
      <c r="A1" s="5" t="s">
        <v>17</v>
      </c>
      <c r="B1" s="5" t="s">
        <v>18</v>
      </c>
      <c r="C1" s="5" t="s">
        <v>19</v>
      </c>
      <c r="D1" s="5" t="s">
        <v>20</v>
      </c>
      <c r="E1" s="5" t="s">
        <v>21</v>
      </c>
      <c r="F1" s="5" t="s">
        <v>22</v>
      </c>
      <c r="G1" s="5" t="s">
        <v>23</v>
      </c>
      <c r="H1" s="5" t="s">
        <v>24</v>
      </c>
      <c r="I1" s="5" t="s">
        <v>25</v>
      </c>
      <c r="J1" s="5" t="s">
        <v>26</v>
      </c>
      <c r="K1" s="5" t="s">
        <v>27</v>
      </c>
      <c r="L1" s="5" t="s">
        <v>28</v>
      </c>
      <c r="M1" s="5" t="s">
        <v>29</v>
      </c>
      <c r="N1" s="5" t="s">
        <v>30</v>
      </c>
      <c r="O1" s="3"/>
      <c r="P1" s="4" t="s">
        <v>31</v>
      </c>
      <c r="Q1" s="3"/>
    </row>
    <row r="2" customFormat="false" ht="15" hidden="false" customHeight="false" outlineLevel="0" collapsed="false">
      <c r="A2" s="2" t="s">
        <v>32</v>
      </c>
      <c r="B2" s="2" t="n">
        <v>1</v>
      </c>
      <c r="C2" s="2" t="n">
        <v>1</v>
      </c>
      <c r="D2" s="2" t="n">
        <v>1</v>
      </c>
      <c r="E2" s="2" t="n">
        <v>210</v>
      </c>
      <c r="F2" s="2" t="n">
        <v>80</v>
      </c>
      <c r="G2" s="2" t="s">
        <v>33</v>
      </c>
      <c r="H2" s="6" t="str">
        <f aca="false">A2&amp;"_"&amp;B2</f>
        <v>chauas_1</v>
      </c>
      <c r="I2" s="6" t="str">
        <f aca="false">H2&amp;"_"&amp;C2&amp;"_"&amp;G2</f>
        <v>chauas_1_1_Myrcia sulfiflora</v>
      </c>
      <c r="J2" s="6" t="n">
        <f aca="false">IF(COUNTIF($I$2:I2,I2)=1,1,0)</f>
        <v>1</v>
      </c>
      <c r="K2" s="6" t="n">
        <f aca="false">E2*$Q$2</f>
        <v>21</v>
      </c>
      <c r="L2" s="7" t="n">
        <f aca="false">K2/PI()</f>
        <v>6.68450760985961</v>
      </c>
      <c r="M2" s="8" t="n">
        <f aca="false">PI()*L2^2/40000</f>
        <v>0.00350936649517629</v>
      </c>
      <c r="N2" s="7" t="n">
        <f aca="false">F2*$Q$3</f>
        <v>8</v>
      </c>
      <c r="O2" s="3"/>
      <c r="P2" s="3" t="s">
        <v>34</v>
      </c>
      <c r="Q2" s="9" t="n">
        <v>0.1</v>
      </c>
    </row>
    <row r="3" customFormat="false" ht="15" hidden="false" customHeight="false" outlineLevel="0" collapsed="false">
      <c r="A3" s="2" t="s">
        <v>32</v>
      </c>
      <c r="B3" s="2" t="n">
        <v>1</v>
      </c>
      <c r="C3" s="2" t="n">
        <v>3</v>
      </c>
      <c r="D3" s="2" t="n">
        <v>1</v>
      </c>
      <c r="E3" s="2" t="n">
        <v>170</v>
      </c>
      <c r="F3" s="2" t="n">
        <v>80</v>
      </c>
      <c r="G3" s="2" t="s">
        <v>33</v>
      </c>
      <c r="H3" s="6" t="str">
        <f aca="false">A3&amp;"_"&amp;B3</f>
        <v>chauas_1</v>
      </c>
      <c r="I3" s="6" t="str">
        <f aca="false">H3&amp;"_"&amp;C3&amp;"_"&amp;G3</f>
        <v>chauas_1_3_Myrcia sulfiflora</v>
      </c>
      <c r="J3" s="6" t="n">
        <f aca="false">IF(COUNTIF($I$2:I3,I3)=1,1,0)</f>
        <v>1</v>
      </c>
      <c r="K3" s="6" t="n">
        <f aca="false">E3*$Q$2</f>
        <v>17</v>
      </c>
      <c r="L3" s="7" t="n">
        <f aca="false">K3/PI()</f>
        <v>5.41126806512444</v>
      </c>
      <c r="M3" s="8" t="n">
        <f aca="false">PI()*L3^2/40000</f>
        <v>0.00229978892767789</v>
      </c>
      <c r="N3" s="7" t="n">
        <f aca="false">F3*$Q$3</f>
        <v>8</v>
      </c>
      <c r="O3" s="3"/>
      <c r="P3" s="3" t="s">
        <v>35</v>
      </c>
      <c r="Q3" s="9" t="n">
        <v>0.1</v>
      </c>
    </row>
    <row r="4" customFormat="false" ht="15" hidden="false" customHeight="false" outlineLevel="0" collapsed="false">
      <c r="A4" s="2" t="s">
        <v>32</v>
      </c>
      <c r="B4" s="2" t="n">
        <v>1</v>
      </c>
      <c r="C4" s="2" t="n">
        <v>4</v>
      </c>
      <c r="D4" s="2" t="n">
        <v>1</v>
      </c>
      <c r="E4" s="2" t="n">
        <v>720</v>
      </c>
      <c r="F4" s="2" t="n">
        <v>70</v>
      </c>
      <c r="G4" s="2" t="s">
        <v>36</v>
      </c>
      <c r="H4" s="6" t="str">
        <f aca="false">A4&amp;"_"&amp;B4</f>
        <v>chauas_1</v>
      </c>
      <c r="I4" s="6" t="str">
        <f aca="false">H4&amp;"_"&amp;C4&amp;"_"&amp;G4</f>
        <v>chauas_1_4_Syagrus romanzoffianus</v>
      </c>
      <c r="J4" s="6" t="n">
        <f aca="false">IF(COUNTIF($I$2:I4,I4)=1,1,0)</f>
        <v>1</v>
      </c>
      <c r="K4" s="6" t="n">
        <f aca="false">E4*$Q$2</f>
        <v>72</v>
      </c>
      <c r="L4" s="7" t="n">
        <f aca="false">K4/PI()</f>
        <v>22.9183118052329</v>
      </c>
      <c r="M4" s="8" t="n">
        <f aca="false">PI()*L4^2/40000</f>
        <v>0.0412529612494193</v>
      </c>
      <c r="N4" s="7" t="n">
        <f aca="false">F4*$Q$3</f>
        <v>7</v>
      </c>
      <c r="O4" s="3"/>
      <c r="P4" s="3"/>
      <c r="Q4" s="3"/>
    </row>
    <row r="5" customFormat="false" ht="15" hidden="false" customHeight="false" outlineLevel="0" collapsed="false">
      <c r="A5" s="2" t="s">
        <v>32</v>
      </c>
      <c r="B5" s="2" t="n">
        <v>1</v>
      </c>
      <c r="C5" s="2" t="n">
        <v>5</v>
      </c>
      <c r="D5" s="2" t="n">
        <v>1</v>
      </c>
      <c r="E5" s="2" t="n">
        <v>200</v>
      </c>
      <c r="F5" s="2" t="n">
        <v>80</v>
      </c>
      <c r="G5" s="2" t="s">
        <v>37</v>
      </c>
      <c r="H5" s="6" t="str">
        <f aca="false">A5&amp;"_"&amp;B5</f>
        <v>chauas_1</v>
      </c>
      <c r="I5" s="6" t="str">
        <f aca="false">H5&amp;"_"&amp;C5&amp;"_"&amp;G5</f>
        <v>chauas_1_5_Tabebuia cassinoides</v>
      </c>
      <c r="J5" s="6" t="n">
        <f aca="false">IF(COUNTIF($I$2:I5,I5)=1,1,0)</f>
        <v>1</v>
      </c>
      <c r="K5" s="6" t="n">
        <f aca="false">E5*$Q$2</f>
        <v>20</v>
      </c>
      <c r="L5" s="7" t="n">
        <f aca="false">K5/PI()</f>
        <v>6.36619772367581</v>
      </c>
      <c r="M5" s="8" t="n">
        <f aca="false">PI()*L5^2/40000</f>
        <v>0.00318309886183791</v>
      </c>
      <c r="N5" s="7" t="n">
        <f aca="false">F5*$Q$3</f>
        <v>8</v>
      </c>
      <c r="O5" s="3"/>
      <c r="P5" s="3" t="s">
        <v>38</v>
      </c>
      <c r="Q5" s="3"/>
    </row>
    <row r="6" customFormat="false" ht="15" hidden="false" customHeight="false" outlineLevel="0" collapsed="false">
      <c r="A6" s="2" t="s">
        <v>32</v>
      </c>
      <c r="B6" s="2" t="n">
        <v>1</v>
      </c>
      <c r="C6" s="2" t="n">
        <v>6</v>
      </c>
      <c r="D6" s="2" t="n">
        <v>1</v>
      </c>
      <c r="E6" s="2" t="n">
        <v>750</v>
      </c>
      <c r="F6" s="2" t="n">
        <v>170</v>
      </c>
      <c r="G6" s="2" t="s">
        <v>39</v>
      </c>
      <c r="H6" s="6" t="str">
        <f aca="false">A6&amp;"_"&amp;B6</f>
        <v>chauas_1</v>
      </c>
      <c r="I6" s="6" t="str">
        <f aca="false">H6&amp;"_"&amp;C6&amp;"_"&amp;G6</f>
        <v>chauas_1_6_indet.1</v>
      </c>
      <c r="J6" s="6" t="n">
        <f aca="false">IF(COUNTIF($I$2:I6,I6)=1,1,0)</f>
        <v>1</v>
      </c>
      <c r="K6" s="6" t="n">
        <f aca="false">E6*$Q$2</f>
        <v>75</v>
      </c>
      <c r="L6" s="7" t="n">
        <f aca="false">K6/PI()</f>
        <v>23.8732414637843</v>
      </c>
      <c r="M6" s="8" t="n">
        <f aca="false">PI()*L6^2/40000</f>
        <v>0.0447623277445956</v>
      </c>
      <c r="N6" s="7" t="n">
        <f aca="false">F6*$Q$3</f>
        <v>17</v>
      </c>
      <c r="O6" s="3"/>
      <c r="P6" s="3" t="s">
        <v>40</v>
      </c>
      <c r="Q6" s="3"/>
    </row>
    <row r="7" customFormat="false" ht="15" hidden="false" customHeight="false" outlineLevel="0" collapsed="false">
      <c r="A7" s="2" t="s">
        <v>32</v>
      </c>
      <c r="B7" s="2" t="n">
        <v>1</v>
      </c>
      <c r="C7" s="2" t="n">
        <v>7</v>
      </c>
      <c r="D7" s="2" t="n">
        <v>1</v>
      </c>
      <c r="E7" s="2" t="n">
        <v>320</v>
      </c>
      <c r="F7" s="2" t="n">
        <v>80</v>
      </c>
      <c r="G7" s="2" t="s">
        <v>33</v>
      </c>
      <c r="H7" s="6" t="str">
        <f aca="false">A7&amp;"_"&amp;B7</f>
        <v>chauas_1</v>
      </c>
      <c r="I7" s="6" t="str">
        <f aca="false">H7&amp;"_"&amp;C7&amp;"_"&amp;G7</f>
        <v>chauas_1_7_Myrcia sulfiflora</v>
      </c>
      <c r="J7" s="6" t="n">
        <f aca="false">IF(COUNTIF($I$2:I7,I7)=1,1,0)</f>
        <v>1</v>
      </c>
      <c r="K7" s="6" t="n">
        <f aca="false">E7*$Q$2</f>
        <v>32</v>
      </c>
      <c r="L7" s="7" t="n">
        <f aca="false">K7/PI()</f>
        <v>10.1859163578813</v>
      </c>
      <c r="M7" s="8" t="n">
        <f aca="false">PI()*L7^2/40000</f>
        <v>0.00814873308630504</v>
      </c>
      <c r="N7" s="7" t="n">
        <f aca="false">F7*$Q$3</f>
        <v>8</v>
      </c>
      <c r="O7" s="3"/>
      <c r="P7" s="3"/>
      <c r="Q7" s="3"/>
    </row>
    <row r="8" customFormat="false" ht="15" hidden="false" customHeight="false" outlineLevel="0" collapsed="false">
      <c r="A8" s="2" t="s">
        <v>32</v>
      </c>
      <c r="B8" s="2" t="n">
        <v>1</v>
      </c>
      <c r="C8" s="2" t="n">
        <v>8</v>
      </c>
      <c r="D8" s="2" t="n">
        <v>1</v>
      </c>
      <c r="E8" s="2" t="n">
        <v>480</v>
      </c>
      <c r="F8" s="2" t="n">
        <v>160</v>
      </c>
      <c r="G8" s="2" t="s">
        <v>37</v>
      </c>
      <c r="H8" s="6" t="str">
        <f aca="false">A8&amp;"_"&amp;B8</f>
        <v>chauas_1</v>
      </c>
      <c r="I8" s="6" t="str">
        <f aca="false">H8&amp;"_"&amp;C8&amp;"_"&amp;G8</f>
        <v>chauas_1_8_Tabebuia cassinoides</v>
      </c>
      <c r="J8" s="6" t="n">
        <f aca="false">IF(COUNTIF($I$2:I8,I8)=1,1,0)</f>
        <v>1</v>
      </c>
      <c r="K8" s="6" t="n">
        <f aca="false">E8*$Q$2</f>
        <v>48</v>
      </c>
      <c r="L8" s="7" t="n">
        <f aca="false">K8/PI()</f>
        <v>15.278874536822</v>
      </c>
      <c r="M8" s="8" t="n">
        <f aca="false">PI()*L8^2/40000</f>
        <v>0.0183346494441863</v>
      </c>
      <c r="N8" s="7" t="n">
        <f aca="false">F8*$Q$3</f>
        <v>16</v>
      </c>
      <c r="O8" s="3"/>
      <c r="P8" s="3"/>
      <c r="Q8" s="3"/>
    </row>
    <row r="9" customFormat="false" ht="15" hidden="false" customHeight="false" outlineLevel="0" collapsed="false">
      <c r="A9" s="2" t="s">
        <v>32</v>
      </c>
      <c r="B9" s="2" t="n">
        <v>1</v>
      </c>
      <c r="C9" s="2" t="n">
        <v>9</v>
      </c>
      <c r="D9" s="2" t="n">
        <v>1</v>
      </c>
      <c r="E9" s="2" t="n">
        <v>240</v>
      </c>
      <c r="F9" s="2" t="n">
        <v>140</v>
      </c>
      <c r="G9" s="2" t="s">
        <v>37</v>
      </c>
      <c r="H9" s="6" t="str">
        <f aca="false">A9&amp;"_"&amp;B9</f>
        <v>chauas_1</v>
      </c>
      <c r="I9" s="6" t="str">
        <f aca="false">H9&amp;"_"&amp;C9&amp;"_"&amp;G9</f>
        <v>chauas_1_9_Tabebuia cassinoides</v>
      </c>
      <c r="J9" s="6" t="n">
        <f aca="false">IF(COUNTIF($I$2:I9,I9)=1,1,0)</f>
        <v>1</v>
      </c>
      <c r="K9" s="6" t="n">
        <f aca="false">E9*$Q$2</f>
        <v>24</v>
      </c>
      <c r="L9" s="7" t="n">
        <f aca="false">K9/PI()</f>
        <v>7.63943726841098</v>
      </c>
      <c r="M9" s="8" t="n">
        <f aca="false">PI()*L9^2/40000</f>
        <v>0.00458366236104659</v>
      </c>
      <c r="N9" s="7" t="n">
        <f aca="false">F9*$Q$3</f>
        <v>14</v>
      </c>
      <c r="O9" s="3"/>
      <c r="P9" s="3"/>
      <c r="Q9" s="3"/>
    </row>
    <row r="10" customFormat="false" ht="15" hidden="false" customHeight="false" outlineLevel="0" collapsed="false">
      <c r="A10" s="2" t="s">
        <v>32</v>
      </c>
      <c r="B10" s="2" t="n">
        <v>1</v>
      </c>
      <c r="C10" s="2" t="n">
        <v>10</v>
      </c>
      <c r="D10" s="2" t="n">
        <v>1</v>
      </c>
      <c r="E10" s="2" t="n">
        <v>290</v>
      </c>
      <c r="F10" s="2" t="n">
        <v>120</v>
      </c>
      <c r="G10" s="2" t="s">
        <v>37</v>
      </c>
      <c r="H10" s="6" t="str">
        <f aca="false">A10&amp;"_"&amp;B10</f>
        <v>chauas_1</v>
      </c>
      <c r="I10" s="6" t="str">
        <f aca="false">H10&amp;"_"&amp;C10&amp;"_"&amp;G10</f>
        <v>chauas_1_10_Tabebuia cassinoides</v>
      </c>
      <c r="J10" s="6" t="n">
        <f aca="false">IF(COUNTIF($I$2:I10,I10)=1,1,0)</f>
        <v>1</v>
      </c>
      <c r="K10" s="6" t="n">
        <f aca="false">E10*$Q$2</f>
        <v>29</v>
      </c>
      <c r="L10" s="7" t="n">
        <f aca="false">K10/PI()</f>
        <v>9.23098669932993</v>
      </c>
      <c r="M10" s="8" t="n">
        <f aca="false">PI()*L10^2/40000</f>
        <v>0.0066924653570142</v>
      </c>
      <c r="N10" s="7" t="n">
        <f aca="false">F10*$Q$3</f>
        <v>12</v>
      </c>
      <c r="O10" s="3"/>
      <c r="P10" s="3"/>
      <c r="Q10" s="3"/>
    </row>
    <row r="11" customFormat="false" ht="15" hidden="false" customHeight="false" outlineLevel="0" collapsed="false">
      <c r="A11" s="2" t="s">
        <v>32</v>
      </c>
      <c r="B11" s="2" t="n">
        <v>1</v>
      </c>
      <c r="C11" s="2" t="n">
        <v>10</v>
      </c>
      <c r="D11" s="2" t="n">
        <v>2</v>
      </c>
      <c r="E11" s="2" t="n">
        <v>310</v>
      </c>
      <c r="F11" s="2" t="n">
        <v>120</v>
      </c>
      <c r="G11" s="2" t="s">
        <v>37</v>
      </c>
      <c r="H11" s="6" t="str">
        <f aca="false">A11&amp;"_"&amp;B11</f>
        <v>chauas_1</v>
      </c>
      <c r="I11" s="6" t="str">
        <f aca="false">H11&amp;"_"&amp;C11&amp;"_"&amp;G11</f>
        <v>chauas_1_10_Tabebuia cassinoides</v>
      </c>
      <c r="J11" s="6" t="n">
        <f aca="false">IF(COUNTIF($I$2:I11,I11)=1,1,0)</f>
        <v>0</v>
      </c>
      <c r="K11" s="6" t="n">
        <f aca="false">E11*$Q$2</f>
        <v>31</v>
      </c>
      <c r="L11" s="7" t="n">
        <f aca="false">K11/PI()</f>
        <v>9.86760647169751</v>
      </c>
      <c r="M11" s="8" t="n">
        <f aca="false">PI()*L11^2/40000</f>
        <v>0.00764739501556557</v>
      </c>
      <c r="N11" s="7" t="n">
        <f aca="false">F11*$Q$3</f>
        <v>12</v>
      </c>
      <c r="O11" s="3"/>
      <c r="P11" s="3"/>
      <c r="Q11" s="3"/>
    </row>
    <row r="12" customFormat="false" ht="15" hidden="false" customHeight="false" outlineLevel="0" collapsed="false">
      <c r="A12" s="2" t="s">
        <v>32</v>
      </c>
      <c r="B12" s="2" t="n">
        <v>1</v>
      </c>
      <c r="C12" s="2" t="n">
        <v>10</v>
      </c>
      <c r="D12" s="2" t="n">
        <v>3</v>
      </c>
      <c r="E12" s="2" t="n">
        <v>230</v>
      </c>
      <c r="F12" s="2" t="n">
        <v>120</v>
      </c>
      <c r="G12" s="2" t="s">
        <v>37</v>
      </c>
      <c r="H12" s="6" t="str">
        <f aca="false">A12&amp;"_"&amp;B12</f>
        <v>chauas_1</v>
      </c>
      <c r="I12" s="6" t="str">
        <f aca="false">H12&amp;"_"&amp;C12&amp;"_"&amp;G12</f>
        <v>chauas_1_10_Tabebuia cassinoides</v>
      </c>
      <c r="J12" s="6" t="n">
        <f aca="false">IF(COUNTIF($I$2:I12,I12)=1,1,0)</f>
        <v>0</v>
      </c>
      <c r="K12" s="6" t="n">
        <f aca="false">E12*$Q$2</f>
        <v>23</v>
      </c>
      <c r="L12" s="7" t="n">
        <f aca="false">K12/PI()</f>
        <v>7.32112738222719</v>
      </c>
      <c r="M12" s="8" t="n">
        <f aca="false">PI()*L12^2/40000</f>
        <v>0.00420964824478063</v>
      </c>
      <c r="N12" s="7" t="n">
        <f aca="false">F12*$Q$3</f>
        <v>12</v>
      </c>
      <c r="O12" s="3"/>
      <c r="P12" s="3"/>
      <c r="Q12" s="3"/>
    </row>
    <row r="13" customFormat="false" ht="15" hidden="false" customHeight="false" outlineLevel="0" collapsed="false">
      <c r="A13" s="2" t="s">
        <v>32</v>
      </c>
      <c r="B13" s="2" t="n">
        <v>1</v>
      </c>
      <c r="C13" s="2" t="n">
        <v>11</v>
      </c>
      <c r="D13" s="2" t="n">
        <v>1</v>
      </c>
      <c r="E13" s="2" t="n">
        <v>210</v>
      </c>
      <c r="F13" s="2" t="n">
        <v>80</v>
      </c>
      <c r="G13" s="2" t="s">
        <v>37</v>
      </c>
      <c r="H13" s="6" t="str">
        <f aca="false">A13&amp;"_"&amp;B13</f>
        <v>chauas_1</v>
      </c>
      <c r="I13" s="6" t="str">
        <f aca="false">H13&amp;"_"&amp;C13&amp;"_"&amp;G13</f>
        <v>chauas_1_11_Tabebuia cassinoides</v>
      </c>
      <c r="J13" s="6" t="n">
        <f aca="false">IF(COUNTIF($I$2:I13,I13)=1,1,0)</f>
        <v>1</v>
      </c>
      <c r="K13" s="6" t="n">
        <f aca="false">E13*$Q$2</f>
        <v>21</v>
      </c>
      <c r="L13" s="7" t="n">
        <f aca="false">K13/PI()</f>
        <v>6.68450760985961</v>
      </c>
      <c r="M13" s="8" t="n">
        <f aca="false">PI()*L13^2/40000</f>
        <v>0.00350936649517629</v>
      </c>
      <c r="N13" s="7" t="n">
        <f aca="false">F13*$Q$3</f>
        <v>8</v>
      </c>
      <c r="O13" s="3"/>
      <c r="P13" s="3"/>
      <c r="Q13" s="3"/>
    </row>
    <row r="14" customFormat="false" ht="15" hidden="false" customHeight="false" outlineLevel="0" collapsed="false">
      <c r="A14" s="2" t="s">
        <v>32</v>
      </c>
      <c r="B14" s="2" t="n">
        <v>1</v>
      </c>
      <c r="C14" s="2" t="n">
        <v>12</v>
      </c>
      <c r="D14" s="2" t="n">
        <v>1</v>
      </c>
      <c r="E14" s="2" t="n">
        <v>240</v>
      </c>
      <c r="F14" s="2" t="n">
        <v>70</v>
      </c>
      <c r="G14" s="2" t="s">
        <v>33</v>
      </c>
      <c r="H14" s="6" t="str">
        <f aca="false">A14&amp;"_"&amp;B14</f>
        <v>chauas_1</v>
      </c>
      <c r="I14" s="6" t="str">
        <f aca="false">H14&amp;"_"&amp;C14&amp;"_"&amp;G14</f>
        <v>chauas_1_12_Myrcia sulfiflora</v>
      </c>
      <c r="J14" s="6" t="n">
        <f aca="false">IF(COUNTIF($I$2:I14,I14)=1,1,0)</f>
        <v>1</v>
      </c>
      <c r="K14" s="6" t="n">
        <f aca="false">E14*$Q$2</f>
        <v>24</v>
      </c>
      <c r="L14" s="7" t="n">
        <f aca="false">K14/PI()</f>
        <v>7.63943726841098</v>
      </c>
      <c r="M14" s="8" t="n">
        <f aca="false">PI()*L14^2/40000</f>
        <v>0.00458366236104659</v>
      </c>
      <c r="N14" s="7" t="n">
        <f aca="false">F14*$Q$3</f>
        <v>7</v>
      </c>
      <c r="O14" s="3"/>
      <c r="P14" s="3"/>
      <c r="Q14" s="3"/>
    </row>
    <row r="15" customFormat="false" ht="15" hidden="false" customHeight="false" outlineLevel="0" collapsed="false">
      <c r="A15" s="2" t="s">
        <v>32</v>
      </c>
      <c r="B15" s="2" t="n">
        <v>1</v>
      </c>
      <c r="C15" s="2" t="n">
        <v>13</v>
      </c>
      <c r="D15" s="2" t="n">
        <v>1</v>
      </c>
      <c r="E15" s="2" t="n">
        <v>250</v>
      </c>
      <c r="F15" s="2" t="n">
        <v>80</v>
      </c>
      <c r="G15" s="2" t="s">
        <v>33</v>
      </c>
      <c r="H15" s="6" t="str">
        <f aca="false">A15&amp;"_"&amp;B15</f>
        <v>chauas_1</v>
      </c>
      <c r="I15" s="6" t="str">
        <f aca="false">H15&amp;"_"&amp;C15&amp;"_"&amp;G15</f>
        <v>chauas_1_13_Myrcia sulfiflora</v>
      </c>
      <c r="J15" s="6" t="n">
        <f aca="false">IF(COUNTIF($I$2:I15,I15)=1,1,0)</f>
        <v>1</v>
      </c>
      <c r="K15" s="6" t="n">
        <f aca="false">E15*$Q$2</f>
        <v>25</v>
      </c>
      <c r="L15" s="7" t="n">
        <f aca="false">K15/PI()</f>
        <v>7.95774715459477</v>
      </c>
      <c r="M15" s="8" t="n">
        <f aca="false">PI()*L15^2/40000</f>
        <v>0.00497359197162173</v>
      </c>
      <c r="N15" s="7" t="n">
        <f aca="false">F15*$Q$3</f>
        <v>8</v>
      </c>
      <c r="O15" s="3"/>
      <c r="P15" s="3"/>
      <c r="Q15" s="3"/>
    </row>
    <row r="16" customFormat="false" ht="15" hidden="false" customHeight="false" outlineLevel="0" collapsed="false">
      <c r="A16" s="2" t="s">
        <v>32</v>
      </c>
      <c r="B16" s="2" t="n">
        <v>1</v>
      </c>
      <c r="C16" s="2" t="n">
        <v>14</v>
      </c>
      <c r="D16" s="2" t="n">
        <v>1</v>
      </c>
      <c r="E16" s="2" t="n">
        <v>160</v>
      </c>
      <c r="F16" s="2" t="n">
        <v>100</v>
      </c>
      <c r="G16" s="2" t="s">
        <v>37</v>
      </c>
      <c r="H16" s="6" t="str">
        <f aca="false">A16&amp;"_"&amp;B16</f>
        <v>chauas_1</v>
      </c>
      <c r="I16" s="6" t="str">
        <f aca="false">H16&amp;"_"&amp;C16&amp;"_"&amp;G16</f>
        <v>chauas_1_14_Tabebuia cassinoides</v>
      </c>
      <c r="J16" s="6" t="n">
        <f aca="false">IF(COUNTIF($I$2:I16,I16)=1,1,0)</f>
        <v>1</v>
      </c>
      <c r="K16" s="6" t="n">
        <f aca="false">E16*$Q$2</f>
        <v>16</v>
      </c>
      <c r="L16" s="7" t="n">
        <f aca="false">K16/PI()</f>
        <v>5.09295817894065</v>
      </c>
      <c r="M16" s="8" t="n">
        <f aca="false">PI()*L16^2/40000</f>
        <v>0.00203718327157626</v>
      </c>
      <c r="N16" s="7" t="n">
        <f aca="false">F16*$Q$3</f>
        <v>10</v>
      </c>
      <c r="O16" s="3"/>
      <c r="P16" s="3"/>
      <c r="Q16" s="3"/>
    </row>
    <row r="17" customFormat="false" ht="15" hidden="false" customHeight="false" outlineLevel="0" collapsed="false">
      <c r="A17" s="2" t="s">
        <v>32</v>
      </c>
      <c r="B17" s="2" t="n">
        <v>1</v>
      </c>
      <c r="C17" s="2" t="n">
        <v>14</v>
      </c>
      <c r="D17" s="2" t="n">
        <v>2</v>
      </c>
      <c r="E17" s="2" t="n">
        <v>230</v>
      </c>
      <c r="F17" s="2" t="n">
        <v>100</v>
      </c>
      <c r="G17" s="2" t="s">
        <v>37</v>
      </c>
      <c r="H17" s="6" t="str">
        <f aca="false">A17&amp;"_"&amp;B17</f>
        <v>chauas_1</v>
      </c>
      <c r="I17" s="6" t="str">
        <f aca="false">H17&amp;"_"&amp;C17&amp;"_"&amp;G17</f>
        <v>chauas_1_14_Tabebuia cassinoides</v>
      </c>
      <c r="J17" s="6" t="n">
        <f aca="false">IF(COUNTIF($I$2:I17,I17)=1,1,0)</f>
        <v>0</v>
      </c>
      <c r="K17" s="6" t="n">
        <f aca="false">E17*$Q$2</f>
        <v>23</v>
      </c>
      <c r="L17" s="7" t="n">
        <f aca="false">K17/PI()</f>
        <v>7.32112738222719</v>
      </c>
      <c r="M17" s="8" t="n">
        <f aca="false">PI()*L17^2/40000</f>
        <v>0.00420964824478063</v>
      </c>
      <c r="N17" s="7" t="n">
        <f aca="false">F17*$Q$3</f>
        <v>10</v>
      </c>
      <c r="O17" s="3"/>
      <c r="P17" s="3"/>
      <c r="Q17" s="3"/>
    </row>
    <row r="18" customFormat="false" ht="15" hidden="false" customHeight="false" outlineLevel="0" collapsed="false">
      <c r="A18" s="2" t="s">
        <v>32</v>
      </c>
      <c r="B18" s="2" t="n">
        <v>1</v>
      </c>
      <c r="C18" s="2" t="n">
        <v>14</v>
      </c>
      <c r="D18" s="2" t="n">
        <v>3</v>
      </c>
      <c r="E18" s="2" t="n">
        <v>320</v>
      </c>
      <c r="F18" s="2" t="n">
        <v>100</v>
      </c>
      <c r="G18" s="2" t="s">
        <v>37</v>
      </c>
      <c r="H18" s="6" t="str">
        <f aca="false">A18&amp;"_"&amp;B18</f>
        <v>chauas_1</v>
      </c>
      <c r="I18" s="6" t="str">
        <f aca="false">H18&amp;"_"&amp;C18&amp;"_"&amp;G18</f>
        <v>chauas_1_14_Tabebuia cassinoides</v>
      </c>
      <c r="J18" s="6" t="n">
        <f aca="false">IF(COUNTIF($I$2:I18,I18)=1,1,0)</f>
        <v>0</v>
      </c>
      <c r="K18" s="6" t="n">
        <f aca="false">E18*$Q$2</f>
        <v>32</v>
      </c>
      <c r="L18" s="7" t="n">
        <f aca="false">K18/PI()</f>
        <v>10.1859163578813</v>
      </c>
      <c r="M18" s="8" t="n">
        <f aca="false">PI()*L18^2/40000</f>
        <v>0.00814873308630504</v>
      </c>
      <c r="N18" s="7" t="n">
        <f aca="false">F18*$Q$3</f>
        <v>10</v>
      </c>
      <c r="O18" s="3"/>
      <c r="P18" s="3"/>
      <c r="Q18" s="3"/>
    </row>
    <row r="19" customFormat="false" ht="15" hidden="false" customHeight="false" outlineLevel="0" collapsed="false">
      <c r="A19" s="2" t="s">
        <v>32</v>
      </c>
      <c r="B19" s="2" t="n">
        <v>1</v>
      </c>
      <c r="C19" s="2" t="n">
        <v>15</v>
      </c>
      <c r="D19" s="2" t="n">
        <v>1</v>
      </c>
      <c r="E19" s="2" t="n">
        <v>410</v>
      </c>
      <c r="F19" s="2" t="n">
        <v>160</v>
      </c>
      <c r="G19" s="2" t="s">
        <v>37</v>
      </c>
      <c r="H19" s="6" t="str">
        <f aca="false">A19&amp;"_"&amp;B19</f>
        <v>chauas_1</v>
      </c>
      <c r="I19" s="6" t="str">
        <f aca="false">H19&amp;"_"&amp;C19&amp;"_"&amp;G19</f>
        <v>chauas_1_15_Tabebuia cassinoides</v>
      </c>
      <c r="J19" s="6" t="n">
        <f aca="false">IF(COUNTIF($I$2:I19,I19)=1,1,0)</f>
        <v>1</v>
      </c>
      <c r="K19" s="6" t="n">
        <f aca="false">E19*$Q$2</f>
        <v>41</v>
      </c>
      <c r="L19" s="7" t="n">
        <f aca="false">K19/PI()</f>
        <v>13.0507053335354</v>
      </c>
      <c r="M19" s="8" t="n">
        <f aca="false">PI()*L19^2/40000</f>
        <v>0.0133769729668738</v>
      </c>
      <c r="N19" s="7" t="n">
        <f aca="false">F19*$Q$3</f>
        <v>16</v>
      </c>
      <c r="O19" s="3"/>
      <c r="P19" s="3"/>
      <c r="Q19" s="3"/>
    </row>
    <row r="20" customFormat="false" ht="15" hidden="false" customHeight="false" outlineLevel="0" collapsed="false">
      <c r="A20" s="2" t="s">
        <v>32</v>
      </c>
      <c r="B20" s="2" t="n">
        <v>1</v>
      </c>
      <c r="C20" s="2" t="n">
        <v>16</v>
      </c>
      <c r="D20" s="2" t="n">
        <v>1</v>
      </c>
      <c r="E20" s="2" t="n">
        <v>600</v>
      </c>
      <c r="F20" s="2" t="n">
        <v>140</v>
      </c>
      <c r="G20" s="2" t="s">
        <v>41</v>
      </c>
      <c r="H20" s="6" t="str">
        <f aca="false">A20&amp;"_"&amp;B20</f>
        <v>chauas_1</v>
      </c>
      <c r="I20" s="6" t="str">
        <f aca="false">H20&amp;"_"&amp;C20&amp;"_"&amp;G20</f>
        <v>chauas_1_16_myrtaceae4</v>
      </c>
      <c r="J20" s="6" t="n">
        <f aca="false">IF(COUNTIF($I$2:I20,I20)=1,1,0)</f>
        <v>1</v>
      </c>
      <c r="K20" s="6" t="n">
        <f aca="false">E20*$Q$2</f>
        <v>60</v>
      </c>
      <c r="L20" s="7" t="n">
        <f aca="false">K20/PI()</f>
        <v>19.0985931710274</v>
      </c>
      <c r="M20" s="8" t="n">
        <f aca="false">PI()*L20^2/40000</f>
        <v>0.0286478897565412</v>
      </c>
      <c r="N20" s="7" t="n">
        <f aca="false">F20*$Q$3</f>
        <v>14</v>
      </c>
      <c r="O20" s="3"/>
      <c r="P20" s="3"/>
      <c r="Q20" s="3"/>
    </row>
    <row r="21" customFormat="false" ht="15" hidden="false" customHeight="false" outlineLevel="0" collapsed="false">
      <c r="A21" s="2" t="s">
        <v>32</v>
      </c>
      <c r="B21" s="2" t="n">
        <v>1</v>
      </c>
      <c r="C21" s="2" t="n">
        <v>17</v>
      </c>
      <c r="D21" s="2" t="n">
        <v>1</v>
      </c>
      <c r="E21" s="2" t="n">
        <v>240</v>
      </c>
      <c r="F21" s="2" t="n">
        <v>100</v>
      </c>
      <c r="G21" s="2" t="s">
        <v>37</v>
      </c>
      <c r="H21" s="6" t="str">
        <f aca="false">A21&amp;"_"&amp;B21</f>
        <v>chauas_1</v>
      </c>
      <c r="I21" s="6" t="str">
        <f aca="false">H21&amp;"_"&amp;C21&amp;"_"&amp;G21</f>
        <v>chauas_1_17_Tabebuia cassinoides</v>
      </c>
      <c r="J21" s="6" t="n">
        <f aca="false">IF(COUNTIF($I$2:I21,I21)=1,1,0)</f>
        <v>1</v>
      </c>
      <c r="K21" s="6" t="n">
        <f aca="false">E21*$Q$2</f>
        <v>24</v>
      </c>
      <c r="L21" s="7" t="n">
        <f aca="false">K21/PI()</f>
        <v>7.63943726841098</v>
      </c>
      <c r="M21" s="8" t="n">
        <f aca="false">PI()*L21^2/40000</f>
        <v>0.00458366236104659</v>
      </c>
      <c r="N21" s="7" t="n">
        <f aca="false">F21*$Q$3</f>
        <v>10</v>
      </c>
      <c r="O21" s="3"/>
      <c r="P21" s="3"/>
      <c r="Q21" s="3"/>
    </row>
    <row r="22" customFormat="false" ht="15" hidden="false" customHeight="false" outlineLevel="0" collapsed="false">
      <c r="A22" s="2" t="s">
        <v>32</v>
      </c>
      <c r="B22" s="2" t="n">
        <v>1</v>
      </c>
      <c r="C22" s="2" t="n">
        <v>17</v>
      </c>
      <c r="D22" s="2" t="n">
        <v>2</v>
      </c>
      <c r="E22" s="2" t="n">
        <v>180</v>
      </c>
      <c r="F22" s="2" t="n">
        <v>100</v>
      </c>
      <c r="G22" s="2" t="s">
        <v>37</v>
      </c>
      <c r="H22" s="6" t="str">
        <f aca="false">A22&amp;"_"&amp;B22</f>
        <v>chauas_1</v>
      </c>
      <c r="I22" s="6" t="str">
        <f aca="false">H22&amp;"_"&amp;C22&amp;"_"&amp;G22</f>
        <v>chauas_1_17_Tabebuia cassinoides</v>
      </c>
      <c r="J22" s="6" t="n">
        <f aca="false">IF(COUNTIF($I$2:I22,I22)=1,1,0)</f>
        <v>0</v>
      </c>
      <c r="K22" s="6" t="n">
        <f aca="false">E22*$Q$2</f>
        <v>18</v>
      </c>
      <c r="L22" s="7" t="n">
        <f aca="false">K22/PI()</f>
        <v>5.72957795130823</v>
      </c>
      <c r="M22" s="8" t="n">
        <f aca="false">PI()*L22^2/40000</f>
        <v>0.0025783100780887</v>
      </c>
      <c r="N22" s="7" t="n">
        <f aca="false">F22*$Q$3</f>
        <v>10</v>
      </c>
      <c r="O22" s="3"/>
      <c r="P22" s="3"/>
      <c r="Q22" s="3"/>
    </row>
    <row r="23" customFormat="false" ht="15" hidden="false" customHeight="false" outlineLevel="0" collapsed="false">
      <c r="A23" s="2" t="s">
        <v>32</v>
      </c>
      <c r="B23" s="2" t="n">
        <v>1</v>
      </c>
      <c r="C23" s="2" t="n">
        <v>17</v>
      </c>
      <c r="D23" s="2" t="n">
        <v>3</v>
      </c>
      <c r="E23" s="2" t="n">
        <v>200</v>
      </c>
      <c r="F23" s="2" t="n">
        <v>100</v>
      </c>
      <c r="G23" s="2" t="s">
        <v>37</v>
      </c>
      <c r="H23" s="6" t="str">
        <f aca="false">A23&amp;"_"&amp;B23</f>
        <v>chauas_1</v>
      </c>
      <c r="I23" s="6" t="str">
        <f aca="false">H23&amp;"_"&amp;C23&amp;"_"&amp;G23</f>
        <v>chauas_1_17_Tabebuia cassinoides</v>
      </c>
      <c r="J23" s="6" t="n">
        <f aca="false">IF(COUNTIF($I$2:I23,I23)=1,1,0)</f>
        <v>0</v>
      </c>
      <c r="K23" s="6" t="n">
        <f aca="false">E23*$Q$2</f>
        <v>20</v>
      </c>
      <c r="L23" s="7" t="n">
        <f aca="false">K23/PI()</f>
        <v>6.36619772367581</v>
      </c>
      <c r="M23" s="8" t="n">
        <f aca="false">PI()*L23^2/40000</f>
        <v>0.00318309886183791</v>
      </c>
      <c r="N23" s="7" t="n">
        <f aca="false">F23*$Q$3</f>
        <v>10</v>
      </c>
      <c r="O23" s="3"/>
      <c r="P23" s="3"/>
      <c r="Q23" s="3"/>
    </row>
    <row r="24" customFormat="false" ht="15" hidden="false" customHeight="false" outlineLevel="0" collapsed="false">
      <c r="A24" s="2" t="s">
        <v>32</v>
      </c>
      <c r="B24" s="2" t="n">
        <v>1</v>
      </c>
      <c r="C24" s="2" t="n">
        <v>17</v>
      </c>
      <c r="D24" s="2" t="n">
        <v>4</v>
      </c>
      <c r="E24" s="2" t="n">
        <v>430</v>
      </c>
      <c r="F24" s="2" t="n">
        <v>100</v>
      </c>
      <c r="G24" s="2" t="s">
        <v>37</v>
      </c>
      <c r="H24" s="6" t="str">
        <f aca="false">A24&amp;"_"&amp;B24</f>
        <v>chauas_1</v>
      </c>
      <c r="I24" s="6" t="str">
        <f aca="false">H24&amp;"_"&amp;C24&amp;"_"&amp;G24</f>
        <v>chauas_1_17_Tabebuia cassinoides</v>
      </c>
      <c r="J24" s="6" t="n">
        <f aca="false">IF(COUNTIF($I$2:I24,I24)=1,1,0)</f>
        <v>0</v>
      </c>
      <c r="K24" s="6" t="n">
        <f aca="false">E24*$Q$2</f>
        <v>43</v>
      </c>
      <c r="L24" s="7" t="n">
        <f aca="false">K24/PI()</f>
        <v>13.687325105903</v>
      </c>
      <c r="M24" s="8" t="n">
        <f aca="false">PI()*L24^2/40000</f>
        <v>0.0147138744888457</v>
      </c>
      <c r="N24" s="7" t="n">
        <f aca="false">F24*$Q$3</f>
        <v>10</v>
      </c>
      <c r="O24" s="3"/>
      <c r="P24" s="3"/>
      <c r="Q24" s="3"/>
    </row>
    <row r="25" customFormat="false" ht="15" hidden="false" customHeight="false" outlineLevel="0" collapsed="false">
      <c r="A25" s="2" t="s">
        <v>32</v>
      </c>
      <c r="B25" s="2" t="n">
        <v>1</v>
      </c>
      <c r="C25" s="2" t="n">
        <v>18</v>
      </c>
      <c r="D25" s="2" t="n">
        <v>1</v>
      </c>
      <c r="E25" s="2" t="n">
        <v>210</v>
      </c>
      <c r="F25" s="2" t="n">
        <v>90</v>
      </c>
      <c r="G25" s="2" t="s">
        <v>33</v>
      </c>
      <c r="H25" s="6" t="str">
        <f aca="false">A25&amp;"_"&amp;B25</f>
        <v>chauas_1</v>
      </c>
      <c r="I25" s="6" t="str">
        <f aca="false">H25&amp;"_"&amp;C25&amp;"_"&amp;G25</f>
        <v>chauas_1_18_Myrcia sulfiflora</v>
      </c>
      <c r="J25" s="6" t="n">
        <f aca="false">IF(COUNTIF($I$2:I25,I25)=1,1,0)</f>
        <v>1</v>
      </c>
      <c r="K25" s="6" t="n">
        <f aca="false">E25*$Q$2</f>
        <v>21</v>
      </c>
      <c r="L25" s="7" t="n">
        <f aca="false">K25/PI()</f>
        <v>6.68450760985961</v>
      </c>
      <c r="M25" s="8" t="n">
        <f aca="false">PI()*L25^2/40000</f>
        <v>0.00350936649517629</v>
      </c>
      <c r="N25" s="7" t="n">
        <f aca="false">F25*$Q$3</f>
        <v>9</v>
      </c>
      <c r="O25" s="3"/>
      <c r="P25" s="3"/>
      <c r="Q25" s="3"/>
    </row>
    <row r="26" customFormat="false" ht="15" hidden="false" customHeight="false" outlineLevel="0" collapsed="false">
      <c r="A26" s="2" t="s">
        <v>32</v>
      </c>
      <c r="B26" s="2" t="n">
        <v>1</v>
      </c>
      <c r="C26" s="2" t="n">
        <v>19</v>
      </c>
      <c r="D26" s="2" t="n">
        <v>1</v>
      </c>
      <c r="E26" s="2" t="n">
        <v>390</v>
      </c>
      <c r="F26" s="2" t="n">
        <v>80</v>
      </c>
      <c r="G26" s="2" t="s">
        <v>37</v>
      </c>
      <c r="H26" s="6" t="str">
        <f aca="false">A26&amp;"_"&amp;B26</f>
        <v>chauas_1</v>
      </c>
      <c r="I26" s="6" t="str">
        <f aca="false">H26&amp;"_"&amp;C26&amp;"_"&amp;G26</f>
        <v>chauas_1_19_Tabebuia cassinoides</v>
      </c>
      <c r="J26" s="6" t="n">
        <f aca="false">IF(COUNTIF($I$2:I26,I26)=1,1,0)</f>
        <v>1</v>
      </c>
      <c r="K26" s="6" t="n">
        <f aca="false">E26*$Q$2</f>
        <v>39</v>
      </c>
      <c r="L26" s="7" t="n">
        <f aca="false">K26/PI()</f>
        <v>12.4140855611678</v>
      </c>
      <c r="M26" s="8" t="n">
        <f aca="false">PI()*L26^2/40000</f>
        <v>0.0121037334221386</v>
      </c>
      <c r="N26" s="7" t="n">
        <f aca="false">F26*$Q$3</f>
        <v>8</v>
      </c>
      <c r="O26" s="3"/>
      <c r="P26" s="3"/>
      <c r="Q26" s="3"/>
    </row>
    <row r="27" customFormat="false" ht="15" hidden="false" customHeight="false" outlineLevel="0" collapsed="false">
      <c r="A27" s="2" t="s">
        <v>32</v>
      </c>
      <c r="B27" s="2" t="n">
        <v>1</v>
      </c>
      <c r="C27" s="2" t="n">
        <v>20</v>
      </c>
      <c r="D27" s="2" t="n">
        <v>1</v>
      </c>
      <c r="E27" s="2" t="n">
        <v>310</v>
      </c>
      <c r="F27" s="2" t="n">
        <v>90</v>
      </c>
      <c r="G27" s="2" t="s">
        <v>37</v>
      </c>
      <c r="H27" s="6" t="str">
        <f aca="false">A27&amp;"_"&amp;B27</f>
        <v>chauas_1</v>
      </c>
      <c r="I27" s="6" t="str">
        <f aca="false">H27&amp;"_"&amp;C27&amp;"_"&amp;G27</f>
        <v>chauas_1_20_Tabebuia cassinoides</v>
      </c>
      <c r="J27" s="6" t="n">
        <f aca="false">IF(COUNTIF($I$2:I27,I27)=1,1,0)</f>
        <v>1</v>
      </c>
      <c r="K27" s="6" t="n">
        <f aca="false">E27*$Q$2</f>
        <v>31</v>
      </c>
      <c r="L27" s="7" t="n">
        <f aca="false">K27/PI()</f>
        <v>9.86760647169751</v>
      </c>
      <c r="M27" s="8" t="n">
        <f aca="false">PI()*L27^2/40000</f>
        <v>0.00764739501556557</v>
      </c>
      <c r="N27" s="7" t="n">
        <f aca="false">F27*$Q$3</f>
        <v>9</v>
      </c>
      <c r="O27" s="3"/>
      <c r="P27" s="3"/>
      <c r="Q27" s="3"/>
    </row>
    <row r="28" customFormat="false" ht="15" hidden="false" customHeight="false" outlineLevel="0" collapsed="false">
      <c r="A28" s="2" t="s">
        <v>32</v>
      </c>
      <c r="B28" s="2" t="n">
        <v>1</v>
      </c>
      <c r="C28" s="2" t="n">
        <v>20</v>
      </c>
      <c r="D28" s="2" t="n">
        <v>2</v>
      </c>
      <c r="E28" s="2" t="n">
        <v>240</v>
      </c>
      <c r="F28" s="2" t="n">
        <v>90</v>
      </c>
      <c r="G28" s="2" t="s">
        <v>37</v>
      </c>
      <c r="H28" s="6" t="str">
        <f aca="false">A28&amp;"_"&amp;B28</f>
        <v>chauas_1</v>
      </c>
      <c r="I28" s="6" t="str">
        <f aca="false">H28&amp;"_"&amp;C28&amp;"_"&amp;G28</f>
        <v>chauas_1_20_Tabebuia cassinoides</v>
      </c>
      <c r="J28" s="6" t="n">
        <f aca="false">IF(COUNTIF($I$2:I28,I28)=1,1,0)</f>
        <v>0</v>
      </c>
      <c r="K28" s="6" t="n">
        <f aca="false">E28*$Q$2</f>
        <v>24</v>
      </c>
      <c r="L28" s="7" t="n">
        <f aca="false">K28/PI()</f>
        <v>7.63943726841098</v>
      </c>
      <c r="M28" s="8" t="n">
        <f aca="false">PI()*L28^2/40000</f>
        <v>0.00458366236104659</v>
      </c>
      <c r="N28" s="7" t="n">
        <f aca="false">F28*$Q$3</f>
        <v>9</v>
      </c>
      <c r="O28" s="3"/>
      <c r="P28" s="3"/>
      <c r="Q28" s="3"/>
    </row>
    <row r="29" customFormat="false" ht="15" hidden="false" customHeight="false" outlineLevel="0" collapsed="false">
      <c r="A29" s="2" t="s">
        <v>32</v>
      </c>
      <c r="B29" s="2" t="n">
        <v>1</v>
      </c>
      <c r="C29" s="2" t="n">
        <v>21</v>
      </c>
      <c r="D29" s="2" t="n">
        <v>1</v>
      </c>
      <c r="E29" s="2" t="n">
        <v>520</v>
      </c>
      <c r="F29" s="2" t="n">
        <v>150</v>
      </c>
      <c r="G29" s="2" t="s">
        <v>42</v>
      </c>
      <c r="H29" s="6" t="str">
        <f aca="false">A29&amp;"_"&amp;B29</f>
        <v>chauas_1</v>
      </c>
      <c r="I29" s="6" t="str">
        <f aca="false">H29&amp;"_"&amp;C29&amp;"_"&amp;G29</f>
        <v>chauas_1_21_myrtaceae1</v>
      </c>
      <c r="J29" s="6" t="n">
        <f aca="false">IF(COUNTIF($I$2:I29,I29)=1,1,0)</f>
        <v>1</v>
      </c>
      <c r="K29" s="6" t="n">
        <f aca="false">E29*$Q$2</f>
        <v>52</v>
      </c>
      <c r="L29" s="7" t="n">
        <f aca="false">K29/PI()</f>
        <v>16.5521140815571</v>
      </c>
      <c r="M29" s="8" t="n">
        <f aca="false">PI()*L29^2/40000</f>
        <v>0.0215177483060242</v>
      </c>
      <c r="N29" s="7" t="n">
        <f aca="false">F29*$Q$3</f>
        <v>15</v>
      </c>
      <c r="O29" s="3"/>
      <c r="P29" s="3"/>
      <c r="Q29" s="3"/>
    </row>
    <row r="30" customFormat="false" ht="15" hidden="false" customHeight="false" outlineLevel="0" collapsed="false">
      <c r="A30" s="2" t="s">
        <v>32</v>
      </c>
      <c r="B30" s="2" t="n">
        <v>1</v>
      </c>
      <c r="C30" s="2" t="n">
        <v>21</v>
      </c>
      <c r="D30" s="2" t="n">
        <v>2</v>
      </c>
      <c r="E30" s="2" t="n">
        <v>450</v>
      </c>
      <c r="F30" s="2" t="n">
        <v>150</v>
      </c>
      <c r="G30" s="2" t="s">
        <v>42</v>
      </c>
      <c r="H30" s="6" t="str">
        <f aca="false">A30&amp;"_"&amp;B30</f>
        <v>chauas_1</v>
      </c>
      <c r="I30" s="6" t="str">
        <f aca="false">H30&amp;"_"&amp;C30&amp;"_"&amp;G30</f>
        <v>chauas_1_21_myrtaceae1</v>
      </c>
      <c r="J30" s="6" t="n">
        <f aca="false">IF(COUNTIF($I$2:I30,I30)=1,1,0)</f>
        <v>0</v>
      </c>
      <c r="K30" s="6" t="n">
        <f aca="false">E30*$Q$2</f>
        <v>45</v>
      </c>
      <c r="L30" s="7" t="n">
        <f aca="false">K30/PI()</f>
        <v>14.3239448782706</v>
      </c>
      <c r="M30" s="8" t="n">
        <f aca="false">PI()*L30^2/40000</f>
        <v>0.0161144379880544</v>
      </c>
      <c r="N30" s="7" t="n">
        <f aca="false">F30*$Q$3</f>
        <v>15</v>
      </c>
      <c r="O30" s="3"/>
      <c r="P30" s="3"/>
      <c r="Q30" s="3"/>
    </row>
    <row r="31" customFormat="false" ht="15" hidden="false" customHeight="false" outlineLevel="0" collapsed="false">
      <c r="A31" s="2" t="s">
        <v>32</v>
      </c>
      <c r="B31" s="2" t="n">
        <v>1</v>
      </c>
      <c r="C31" s="2" t="n">
        <v>22</v>
      </c>
      <c r="D31" s="2" t="n">
        <v>1</v>
      </c>
      <c r="E31" s="2" t="n">
        <v>230</v>
      </c>
      <c r="F31" s="2" t="n">
        <v>80</v>
      </c>
      <c r="G31" s="2" t="s">
        <v>43</v>
      </c>
      <c r="H31" s="6" t="str">
        <f aca="false">A31&amp;"_"&amp;B31</f>
        <v>chauas_1</v>
      </c>
      <c r="I31" s="6" t="str">
        <f aca="false">H31&amp;"_"&amp;C31&amp;"_"&amp;G31</f>
        <v>chauas_1_22_indet.2</v>
      </c>
      <c r="J31" s="6" t="n">
        <f aca="false">IF(COUNTIF($I$2:I31,I31)=1,1,0)</f>
        <v>1</v>
      </c>
      <c r="K31" s="6" t="n">
        <f aca="false">E31*$Q$2</f>
        <v>23</v>
      </c>
      <c r="L31" s="7" t="n">
        <f aca="false">K31/PI()</f>
        <v>7.32112738222719</v>
      </c>
      <c r="M31" s="8" t="n">
        <f aca="false">PI()*L31^2/40000</f>
        <v>0.00420964824478063</v>
      </c>
      <c r="N31" s="7" t="n">
        <f aca="false">F31*$Q$3</f>
        <v>8</v>
      </c>
      <c r="O31" s="3"/>
      <c r="P31" s="3"/>
      <c r="Q31" s="3"/>
    </row>
    <row r="32" customFormat="false" ht="15" hidden="false" customHeight="false" outlineLevel="0" collapsed="false">
      <c r="A32" s="2" t="s">
        <v>32</v>
      </c>
      <c r="B32" s="2" t="n">
        <v>1</v>
      </c>
      <c r="C32" s="2" t="n">
        <v>23</v>
      </c>
      <c r="D32" s="2" t="n">
        <v>1</v>
      </c>
      <c r="E32" s="2" t="n">
        <v>670</v>
      </c>
      <c r="F32" s="2" t="n">
        <v>230</v>
      </c>
      <c r="G32" s="2" t="s">
        <v>37</v>
      </c>
      <c r="H32" s="6" t="str">
        <f aca="false">A32&amp;"_"&amp;B32</f>
        <v>chauas_1</v>
      </c>
      <c r="I32" s="6" t="str">
        <f aca="false">H32&amp;"_"&amp;C32&amp;"_"&amp;G32</f>
        <v>chauas_1_23_Tabebuia cassinoides</v>
      </c>
      <c r="J32" s="6" t="n">
        <f aca="false">IF(COUNTIF($I$2:I32,I32)=1,1,0)</f>
        <v>1</v>
      </c>
      <c r="K32" s="6" t="n">
        <f aca="false">E32*$Q$2</f>
        <v>67</v>
      </c>
      <c r="L32" s="7" t="n">
        <f aca="false">K32/PI()</f>
        <v>21.326762374314</v>
      </c>
      <c r="M32" s="8" t="n">
        <f aca="false">PI()*L32^2/40000</f>
        <v>0.0357223269769759</v>
      </c>
      <c r="N32" s="7" t="n">
        <f aca="false">F32*$Q$3</f>
        <v>23</v>
      </c>
      <c r="O32" s="3"/>
      <c r="P32" s="3"/>
      <c r="Q32" s="3"/>
    </row>
    <row r="33" customFormat="false" ht="15" hidden="false" customHeight="false" outlineLevel="0" collapsed="false">
      <c r="A33" s="2" t="s">
        <v>32</v>
      </c>
      <c r="B33" s="2" t="n">
        <v>1</v>
      </c>
      <c r="C33" s="2" t="n">
        <v>24</v>
      </c>
      <c r="D33" s="2" t="n">
        <v>1</v>
      </c>
      <c r="E33" s="2" t="n">
        <v>240</v>
      </c>
      <c r="F33" s="2" t="n">
        <v>100</v>
      </c>
      <c r="G33" s="2" t="s">
        <v>37</v>
      </c>
      <c r="H33" s="6" t="str">
        <f aca="false">A33&amp;"_"&amp;B33</f>
        <v>chauas_1</v>
      </c>
      <c r="I33" s="6" t="str">
        <f aca="false">H33&amp;"_"&amp;C33&amp;"_"&amp;G33</f>
        <v>chauas_1_24_Tabebuia cassinoides</v>
      </c>
      <c r="J33" s="6" t="n">
        <f aca="false">IF(COUNTIF($I$2:I33,I33)=1,1,0)</f>
        <v>1</v>
      </c>
      <c r="K33" s="6" t="n">
        <f aca="false">E33*$Q$2</f>
        <v>24</v>
      </c>
      <c r="L33" s="7" t="n">
        <f aca="false">K33/PI()</f>
        <v>7.63943726841098</v>
      </c>
      <c r="M33" s="8" t="n">
        <f aca="false">PI()*L33^2/40000</f>
        <v>0.00458366236104659</v>
      </c>
      <c r="N33" s="7" t="n">
        <f aca="false">F33*$Q$3</f>
        <v>10</v>
      </c>
      <c r="O33" s="3"/>
      <c r="P33" s="3"/>
      <c r="Q33" s="3"/>
    </row>
    <row r="34" customFormat="false" ht="15" hidden="false" customHeight="false" outlineLevel="0" collapsed="false">
      <c r="A34" s="2" t="s">
        <v>32</v>
      </c>
      <c r="B34" s="2" t="n">
        <v>1</v>
      </c>
      <c r="C34" s="2" t="n">
        <v>24</v>
      </c>
      <c r="D34" s="2" t="n">
        <v>2</v>
      </c>
      <c r="E34" s="2" t="n">
        <v>310</v>
      </c>
      <c r="F34" s="2" t="n">
        <v>100</v>
      </c>
      <c r="G34" s="2" t="s">
        <v>37</v>
      </c>
      <c r="H34" s="6" t="str">
        <f aca="false">A34&amp;"_"&amp;B34</f>
        <v>chauas_1</v>
      </c>
      <c r="I34" s="6" t="str">
        <f aca="false">H34&amp;"_"&amp;C34&amp;"_"&amp;G34</f>
        <v>chauas_1_24_Tabebuia cassinoides</v>
      </c>
      <c r="J34" s="6" t="n">
        <f aca="false">IF(COUNTIF($I$2:I34,I34)=1,1,0)</f>
        <v>0</v>
      </c>
      <c r="K34" s="6" t="n">
        <f aca="false">E34*$Q$2</f>
        <v>31</v>
      </c>
      <c r="L34" s="7" t="n">
        <f aca="false">K34/PI()</f>
        <v>9.86760647169751</v>
      </c>
      <c r="M34" s="8" t="n">
        <f aca="false">PI()*L34^2/40000</f>
        <v>0.00764739501556557</v>
      </c>
      <c r="N34" s="7" t="n">
        <f aca="false">F34*$Q$3</f>
        <v>10</v>
      </c>
      <c r="O34" s="3"/>
      <c r="P34" s="3"/>
      <c r="Q34" s="3"/>
    </row>
    <row r="35" customFormat="false" ht="15" hidden="false" customHeight="false" outlineLevel="0" collapsed="false">
      <c r="A35" s="2" t="s">
        <v>32</v>
      </c>
      <c r="B35" s="2" t="n">
        <v>1</v>
      </c>
      <c r="C35" s="2" t="n">
        <v>24</v>
      </c>
      <c r="D35" s="2" t="n">
        <v>3</v>
      </c>
      <c r="E35" s="2" t="n">
        <v>220</v>
      </c>
      <c r="F35" s="2" t="n">
        <v>100</v>
      </c>
      <c r="G35" s="2" t="s">
        <v>37</v>
      </c>
      <c r="H35" s="6" t="str">
        <f aca="false">A35&amp;"_"&amp;B35</f>
        <v>chauas_1</v>
      </c>
      <c r="I35" s="6" t="str">
        <f aca="false">H35&amp;"_"&amp;C35&amp;"_"&amp;G35</f>
        <v>chauas_1_24_Tabebuia cassinoides</v>
      </c>
      <c r="J35" s="6" t="n">
        <f aca="false">IF(COUNTIF($I$2:I35,I35)=1,1,0)</f>
        <v>0</v>
      </c>
      <c r="K35" s="6" t="n">
        <f aca="false">E35*$Q$2</f>
        <v>22</v>
      </c>
      <c r="L35" s="7" t="n">
        <f aca="false">K35/PI()</f>
        <v>7.0028174960434</v>
      </c>
      <c r="M35" s="8" t="n">
        <f aca="false">PI()*L35^2/40000</f>
        <v>0.00385154962282387</v>
      </c>
      <c r="N35" s="7" t="n">
        <f aca="false">F35*$Q$3</f>
        <v>10</v>
      </c>
      <c r="O35" s="3"/>
      <c r="P35" s="3"/>
      <c r="Q35" s="3"/>
    </row>
    <row r="36" customFormat="false" ht="15" hidden="false" customHeight="false" outlineLevel="0" collapsed="false">
      <c r="A36" s="2" t="s">
        <v>32</v>
      </c>
      <c r="B36" s="2" t="n">
        <v>1</v>
      </c>
      <c r="C36" s="2" t="n">
        <v>25</v>
      </c>
      <c r="D36" s="2" t="n">
        <v>1</v>
      </c>
      <c r="E36" s="2" t="n">
        <v>270</v>
      </c>
      <c r="F36" s="2" t="n">
        <v>110</v>
      </c>
      <c r="G36" s="2" t="s">
        <v>37</v>
      </c>
      <c r="H36" s="6" t="str">
        <f aca="false">A36&amp;"_"&amp;B36</f>
        <v>chauas_1</v>
      </c>
      <c r="I36" s="6" t="str">
        <f aca="false">H36&amp;"_"&amp;C36&amp;"_"&amp;G36</f>
        <v>chauas_1_25_Tabebuia cassinoides</v>
      </c>
      <c r="J36" s="6" t="n">
        <f aca="false">IF(COUNTIF($I$2:I36,I36)=1,1,0)</f>
        <v>1</v>
      </c>
      <c r="K36" s="6" t="n">
        <f aca="false">E36*$Q$2</f>
        <v>27</v>
      </c>
      <c r="L36" s="7" t="n">
        <f aca="false">K36/PI()</f>
        <v>8.59436692696235</v>
      </c>
      <c r="M36" s="8" t="n">
        <f aca="false">PI()*L36^2/40000</f>
        <v>0.00580119767569958</v>
      </c>
      <c r="N36" s="7" t="n">
        <f aca="false">F36*$Q$3</f>
        <v>11</v>
      </c>
      <c r="O36" s="3"/>
      <c r="P36" s="3"/>
      <c r="Q36" s="3"/>
    </row>
    <row r="37" customFormat="false" ht="15" hidden="false" customHeight="false" outlineLevel="0" collapsed="false">
      <c r="A37" s="2" t="s">
        <v>32</v>
      </c>
      <c r="B37" s="2" t="n">
        <v>1</v>
      </c>
      <c r="C37" s="2" t="n">
        <v>25</v>
      </c>
      <c r="D37" s="2" t="n">
        <v>2</v>
      </c>
      <c r="E37" s="2" t="n">
        <v>170</v>
      </c>
      <c r="F37" s="2" t="n">
        <v>110</v>
      </c>
      <c r="G37" s="2" t="s">
        <v>37</v>
      </c>
      <c r="H37" s="6" t="str">
        <f aca="false">A37&amp;"_"&amp;B37</f>
        <v>chauas_1</v>
      </c>
      <c r="I37" s="6" t="str">
        <f aca="false">H37&amp;"_"&amp;C37&amp;"_"&amp;G37</f>
        <v>chauas_1_25_Tabebuia cassinoides</v>
      </c>
      <c r="J37" s="6" t="n">
        <f aca="false">IF(COUNTIF($I$2:I37,I37)=1,1,0)</f>
        <v>0</v>
      </c>
      <c r="K37" s="6" t="n">
        <f aca="false">E37*$Q$2</f>
        <v>17</v>
      </c>
      <c r="L37" s="7" t="n">
        <f aca="false">K37/PI()</f>
        <v>5.41126806512444</v>
      </c>
      <c r="M37" s="8" t="n">
        <f aca="false">PI()*L37^2/40000</f>
        <v>0.00229978892767789</v>
      </c>
      <c r="N37" s="7" t="n">
        <f aca="false">F37*$Q$3</f>
        <v>11</v>
      </c>
      <c r="O37" s="3"/>
      <c r="P37" s="3"/>
      <c r="Q37" s="3"/>
    </row>
    <row r="38" customFormat="false" ht="15" hidden="false" customHeight="false" outlineLevel="0" collapsed="false">
      <c r="A38" s="2" t="s">
        <v>32</v>
      </c>
      <c r="B38" s="2" t="n">
        <v>1</v>
      </c>
      <c r="C38" s="2" t="n">
        <v>26</v>
      </c>
      <c r="D38" s="2" t="n">
        <v>1</v>
      </c>
      <c r="E38" s="2" t="n">
        <v>350</v>
      </c>
      <c r="F38" s="2" t="n">
        <v>90</v>
      </c>
      <c r="G38" s="2" t="s">
        <v>37</v>
      </c>
      <c r="H38" s="6" t="str">
        <f aca="false">A38&amp;"_"&amp;B38</f>
        <v>chauas_1</v>
      </c>
      <c r="I38" s="6" t="str">
        <f aca="false">H38&amp;"_"&amp;C38&amp;"_"&amp;G38</f>
        <v>chauas_1_26_Tabebuia cassinoides</v>
      </c>
      <c r="J38" s="6" t="n">
        <f aca="false">IF(COUNTIF($I$2:I38,I38)=1,1,0)</f>
        <v>1</v>
      </c>
      <c r="K38" s="6" t="n">
        <f aca="false">E38*$Q$2</f>
        <v>35</v>
      </c>
      <c r="L38" s="7" t="n">
        <f aca="false">K38/PI()</f>
        <v>11.1408460164327</v>
      </c>
      <c r="M38" s="8" t="n">
        <f aca="false">PI()*L38^2/40000</f>
        <v>0.00974824026437859</v>
      </c>
      <c r="N38" s="7" t="n">
        <f aca="false">F38*$Q$3</f>
        <v>9</v>
      </c>
      <c r="O38" s="3"/>
      <c r="P38" s="3"/>
      <c r="Q38" s="3"/>
    </row>
    <row r="39" customFormat="false" ht="15" hidden="false" customHeight="false" outlineLevel="0" collapsed="false">
      <c r="A39" s="2" t="s">
        <v>32</v>
      </c>
      <c r="B39" s="2" t="n">
        <v>1</v>
      </c>
      <c r="C39" s="2" t="n">
        <v>27</v>
      </c>
      <c r="D39" s="2" t="n">
        <v>1</v>
      </c>
      <c r="E39" s="2" t="n">
        <v>320</v>
      </c>
      <c r="F39" s="2" t="n">
        <v>60</v>
      </c>
      <c r="G39" s="2" t="s">
        <v>33</v>
      </c>
      <c r="H39" s="6" t="str">
        <f aca="false">A39&amp;"_"&amp;B39</f>
        <v>chauas_1</v>
      </c>
      <c r="I39" s="6" t="str">
        <f aca="false">H39&amp;"_"&amp;C39&amp;"_"&amp;G39</f>
        <v>chauas_1_27_Myrcia sulfiflora</v>
      </c>
      <c r="J39" s="6" t="n">
        <f aca="false">IF(COUNTIF($I$2:I39,I39)=1,1,0)</f>
        <v>1</v>
      </c>
      <c r="K39" s="6" t="n">
        <f aca="false">E39*$Q$2</f>
        <v>32</v>
      </c>
      <c r="L39" s="7" t="n">
        <f aca="false">K39/PI()</f>
        <v>10.1859163578813</v>
      </c>
      <c r="M39" s="8" t="n">
        <f aca="false">PI()*L39^2/40000</f>
        <v>0.00814873308630504</v>
      </c>
      <c r="N39" s="7" t="n">
        <f aca="false">F39*$Q$3</f>
        <v>6</v>
      </c>
      <c r="O39" s="3"/>
      <c r="P39" s="3"/>
      <c r="Q39" s="3"/>
    </row>
    <row r="40" customFormat="false" ht="15" hidden="false" customHeight="false" outlineLevel="0" collapsed="false">
      <c r="A40" s="2" t="s">
        <v>32</v>
      </c>
      <c r="B40" s="2" t="n">
        <v>1</v>
      </c>
      <c r="C40" s="2" t="n">
        <v>28</v>
      </c>
      <c r="D40" s="2" t="n">
        <v>1</v>
      </c>
      <c r="E40" s="2" t="n">
        <v>220</v>
      </c>
      <c r="F40" s="2" t="n">
        <v>60</v>
      </c>
      <c r="G40" s="2" t="s">
        <v>33</v>
      </c>
      <c r="H40" s="6" t="str">
        <f aca="false">A40&amp;"_"&amp;B40</f>
        <v>chauas_1</v>
      </c>
      <c r="I40" s="6" t="str">
        <f aca="false">H40&amp;"_"&amp;C40&amp;"_"&amp;G40</f>
        <v>chauas_1_28_Myrcia sulfiflora</v>
      </c>
      <c r="J40" s="6" t="n">
        <f aca="false">IF(COUNTIF($I$2:I40,I40)=1,1,0)</f>
        <v>1</v>
      </c>
      <c r="K40" s="6" t="n">
        <f aca="false">E40*$Q$2</f>
        <v>22</v>
      </c>
      <c r="L40" s="7" t="n">
        <f aca="false">K40/PI()</f>
        <v>7.0028174960434</v>
      </c>
      <c r="M40" s="8" t="n">
        <f aca="false">PI()*L40^2/40000</f>
        <v>0.00385154962282387</v>
      </c>
      <c r="N40" s="7" t="n">
        <f aca="false">F40*$Q$3</f>
        <v>6</v>
      </c>
      <c r="O40" s="3"/>
      <c r="P40" s="3"/>
      <c r="Q40" s="3"/>
    </row>
    <row r="41" customFormat="false" ht="15" hidden="false" customHeight="false" outlineLevel="0" collapsed="false">
      <c r="A41" s="2" t="s">
        <v>32</v>
      </c>
      <c r="B41" s="2" t="n">
        <v>1</v>
      </c>
      <c r="C41" s="2" t="n">
        <v>29</v>
      </c>
      <c r="D41" s="2" t="n">
        <v>1</v>
      </c>
      <c r="E41" s="2" t="n">
        <v>390</v>
      </c>
      <c r="F41" s="2" t="n">
        <v>150</v>
      </c>
      <c r="G41" s="2" t="s">
        <v>37</v>
      </c>
      <c r="H41" s="6" t="str">
        <f aca="false">A41&amp;"_"&amp;B41</f>
        <v>chauas_1</v>
      </c>
      <c r="I41" s="6" t="str">
        <f aca="false">H41&amp;"_"&amp;C41&amp;"_"&amp;G41</f>
        <v>chauas_1_29_Tabebuia cassinoides</v>
      </c>
      <c r="J41" s="6" t="n">
        <f aca="false">IF(COUNTIF($I$2:I41,I41)=1,1,0)</f>
        <v>1</v>
      </c>
      <c r="K41" s="6" t="n">
        <f aca="false">E41*$Q$2</f>
        <v>39</v>
      </c>
      <c r="L41" s="7" t="n">
        <f aca="false">K41/PI()</f>
        <v>12.4140855611678</v>
      </c>
      <c r="M41" s="8" t="n">
        <f aca="false">PI()*L41^2/40000</f>
        <v>0.0121037334221386</v>
      </c>
      <c r="N41" s="7" t="n">
        <f aca="false">F41*$Q$3</f>
        <v>15</v>
      </c>
      <c r="O41" s="3"/>
      <c r="P41" s="3"/>
      <c r="Q41" s="3"/>
    </row>
    <row r="42" customFormat="false" ht="15" hidden="false" customHeight="false" outlineLevel="0" collapsed="false">
      <c r="A42" s="2" t="s">
        <v>32</v>
      </c>
      <c r="B42" s="2" t="n">
        <v>1</v>
      </c>
      <c r="C42" s="2" t="n">
        <v>29</v>
      </c>
      <c r="D42" s="2" t="n">
        <v>2</v>
      </c>
      <c r="E42" s="2" t="n">
        <v>350</v>
      </c>
      <c r="F42" s="2" t="n">
        <v>150</v>
      </c>
      <c r="G42" s="2" t="s">
        <v>37</v>
      </c>
      <c r="H42" s="6" t="str">
        <f aca="false">A42&amp;"_"&amp;B42</f>
        <v>chauas_1</v>
      </c>
      <c r="I42" s="6" t="str">
        <f aca="false">H42&amp;"_"&amp;C42&amp;"_"&amp;G42</f>
        <v>chauas_1_29_Tabebuia cassinoides</v>
      </c>
      <c r="J42" s="6" t="n">
        <f aca="false">IF(COUNTIF($I$2:I42,I42)=1,1,0)</f>
        <v>0</v>
      </c>
      <c r="K42" s="6" t="n">
        <f aca="false">E42*$Q$2</f>
        <v>35</v>
      </c>
      <c r="L42" s="7" t="n">
        <f aca="false">K42/PI()</f>
        <v>11.1408460164327</v>
      </c>
      <c r="M42" s="8" t="n">
        <f aca="false">PI()*L42^2/40000</f>
        <v>0.00974824026437859</v>
      </c>
      <c r="N42" s="7" t="n">
        <f aca="false">F42*$Q$3</f>
        <v>15</v>
      </c>
      <c r="O42" s="3"/>
      <c r="P42" s="3"/>
      <c r="Q42" s="3"/>
    </row>
    <row r="43" customFormat="false" ht="15" hidden="false" customHeight="false" outlineLevel="0" collapsed="false">
      <c r="A43" s="2" t="s">
        <v>32</v>
      </c>
      <c r="B43" s="2" t="n">
        <v>1</v>
      </c>
      <c r="C43" s="2" t="n">
        <v>30</v>
      </c>
      <c r="D43" s="2" t="n">
        <v>1</v>
      </c>
      <c r="E43" s="2" t="n">
        <v>290</v>
      </c>
      <c r="F43" s="2" t="n">
        <v>120</v>
      </c>
      <c r="G43" s="2" t="s">
        <v>37</v>
      </c>
      <c r="H43" s="6" t="str">
        <f aca="false">A43&amp;"_"&amp;B43</f>
        <v>chauas_1</v>
      </c>
      <c r="I43" s="6" t="str">
        <f aca="false">H43&amp;"_"&amp;C43&amp;"_"&amp;G43</f>
        <v>chauas_1_30_Tabebuia cassinoides</v>
      </c>
      <c r="J43" s="6" t="n">
        <f aca="false">IF(COUNTIF($I$2:I43,I43)=1,1,0)</f>
        <v>1</v>
      </c>
      <c r="K43" s="6" t="n">
        <f aca="false">E43*$Q$2</f>
        <v>29</v>
      </c>
      <c r="L43" s="7" t="n">
        <f aca="false">K43/PI()</f>
        <v>9.23098669932993</v>
      </c>
      <c r="M43" s="8" t="n">
        <f aca="false">PI()*L43^2/40000</f>
        <v>0.0066924653570142</v>
      </c>
      <c r="N43" s="7" t="n">
        <f aca="false">F43*$Q$3</f>
        <v>12</v>
      </c>
      <c r="O43" s="3"/>
      <c r="P43" s="3"/>
      <c r="Q43" s="3"/>
    </row>
    <row r="44" customFormat="false" ht="15" hidden="false" customHeight="false" outlineLevel="0" collapsed="false">
      <c r="A44" s="2" t="s">
        <v>32</v>
      </c>
      <c r="B44" s="2" t="n">
        <v>1</v>
      </c>
      <c r="C44" s="2" t="n">
        <v>30</v>
      </c>
      <c r="D44" s="2" t="n">
        <v>2</v>
      </c>
      <c r="E44" s="2" t="n">
        <v>260</v>
      </c>
      <c r="F44" s="2" t="n">
        <v>120</v>
      </c>
      <c r="G44" s="2" t="s">
        <v>37</v>
      </c>
      <c r="H44" s="6" t="str">
        <f aca="false">A44&amp;"_"&amp;B44</f>
        <v>chauas_1</v>
      </c>
      <c r="I44" s="6" t="str">
        <f aca="false">H44&amp;"_"&amp;C44&amp;"_"&amp;G44</f>
        <v>chauas_1_30_Tabebuia cassinoides</v>
      </c>
      <c r="J44" s="6" t="n">
        <f aca="false">IF(COUNTIF($I$2:I44,I44)=1,1,0)</f>
        <v>0</v>
      </c>
      <c r="K44" s="6" t="n">
        <f aca="false">E44*$Q$2</f>
        <v>26</v>
      </c>
      <c r="L44" s="7" t="n">
        <f aca="false">K44/PI()</f>
        <v>8.27605704077856</v>
      </c>
      <c r="M44" s="8" t="n">
        <f aca="false">PI()*L44^2/40000</f>
        <v>0.00537943707650606</v>
      </c>
      <c r="N44" s="7" t="n">
        <f aca="false">F44*$Q$3</f>
        <v>12</v>
      </c>
      <c r="O44" s="3"/>
      <c r="P44" s="3"/>
      <c r="Q44" s="3"/>
    </row>
    <row r="45" customFormat="false" ht="15" hidden="false" customHeight="false" outlineLevel="0" collapsed="false">
      <c r="A45" s="2" t="s">
        <v>32</v>
      </c>
      <c r="B45" s="2" t="n">
        <v>1</v>
      </c>
      <c r="C45" s="2" t="n">
        <v>30</v>
      </c>
      <c r="D45" s="2" t="n">
        <v>3</v>
      </c>
      <c r="E45" s="2" t="n">
        <v>200</v>
      </c>
      <c r="F45" s="2" t="n">
        <v>120</v>
      </c>
      <c r="G45" s="2" t="s">
        <v>37</v>
      </c>
      <c r="H45" s="6" t="str">
        <f aca="false">A45&amp;"_"&amp;B45</f>
        <v>chauas_1</v>
      </c>
      <c r="I45" s="6" t="str">
        <f aca="false">H45&amp;"_"&amp;C45&amp;"_"&amp;G45</f>
        <v>chauas_1_30_Tabebuia cassinoides</v>
      </c>
      <c r="J45" s="6" t="n">
        <f aca="false">IF(COUNTIF($I$2:I45,I45)=1,1,0)</f>
        <v>0</v>
      </c>
      <c r="K45" s="6" t="n">
        <f aca="false">E45*$Q$2</f>
        <v>20</v>
      </c>
      <c r="L45" s="7" t="n">
        <f aca="false">K45/PI()</f>
        <v>6.36619772367581</v>
      </c>
      <c r="M45" s="8" t="n">
        <f aca="false">PI()*L45^2/40000</f>
        <v>0.00318309886183791</v>
      </c>
      <c r="N45" s="7" t="n">
        <f aca="false">F45*$Q$3</f>
        <v>12</v>
      </c>
      <c r="O45" s="3"/>
      <c r="P45" s="3"/>
      <c r="Q45" s="3"/>
    </row>
    <row r="46" customFormat="false" ht="15" hidden="false" customHeight="false" outlineLevel="0" collapsed="false">
      <c r="A46" s="2" t="s">
        <v>32</v>
      </c>
      <c r="B46" s="2" t="n">
        <v>1</v>
      </c>
      <c r="C46" s="2" t="n">
        <v>31</v>
      </c>
      <c r="D46" s="2" t="n">
        <v>1</v>
      </c>
      <c r="E46" s="2" t="n">
        <v>240</v>
      </c>
      <c r="F46" s="2" t="n">
        <v>110</v>
      </c>
      <c r="G46" s="2" t="s">
        <v>37</v>
      </c>
      <c r="H46" s="6" t="str">
        <f aca="false">A46&amp;"_"&amp;B46</f>
        <v>chauas_1</v>
      </c>
      <c r="I46" s="6" t="str">
        <f aca="false">H46&amp;"_"&amp;C46&amp;"_"&amp;G46</f>
        <v>chauas_1_31_Tabebuia cassinoides</v>
      </c>
      <c r="J46" s="6" t="n">
        <f aca="false">IF(COUNTIF($I$2:I46,I46)=1,1,0)</f>
        <v>1</v>
      </c>
      <c r="K46" s="6" t="n">
        <f aca="false">E46*$Q$2</f>
        <v>24</v>
      </c>
      <c r="L46" s="7" t="n">
        <f aca="false">K46/PI()</f>
        <v>7.63943726841098</v>
      </c>
      <c r="M46" s="8" t="n">
        <f aca="false">PI()*L46^2/40000</f>
        <v>0.00458366236104659</v>
      </c>
      <c r="N46" s="7" t="n">
        <f aca="false">F46*$Q$3</f>
        <v>11</v>
      </c>
      <c r="O46" s="3"/>
      <c r="P46" s="3"/>
      <c r="Q46" s="3"/>
    </row>
    <row r="47" customFormat="false" ht="15" hidden="false" customHeight="false" outlineLevel="0" collapsed="false">
      <c r="A47" s="2" t="s">
        <v>32</v>
      </c>
      <c r="B47" s="2" t="n">
        <v>1</v>
      </c>
      <c r="C47" s="2" t="n">
        <v>31</v>
      </c>
      <c r="D47" s="2" t="n">
        <v>2</v>
      </c>
      <c r="E47" s="2" t="n">
        <v>340</v>
      </c>
      <c r="F47" s="2" t="n">
        <v>110</v>
      </c>
      <c r="G47" s="2" t="s">
        <v>37</v>
      </c>
      <c r="H47" s="6" t="str">
        <f aca="false">A47&amp;"_"&amp;B47</f>
        <v>chauas_1</v>
      </c>
      <c r="I47" s="6" t="str">
        <f aca="false">H47&amp;"_"&amp;C47&amp;"_"&amp;G47</f>
        <v>chauas_1_31_Tabebuia cassinoides</v>
      </c>
      <c r="J47" s="6" t="n">
        <f aca="false">IF(COUNTIF($I$2:I47,I47)=1,1,0)</f>
        <v>0</v>
      </c>
      <c r="K47" s="6" t="n">
        <f aca="false">E47*$Q$2</f>
        <v>34</v>
      </c>
      <c r="L47" s="7" t="n">
        <f aca="false">K47/PI()</f>
        <v>10.8225361302489</v>
      </c>
      <c r="M47" s="8" t="n">
        <f aca="false">PI()*L47^2/40000</f>
        <v>0.00919915571071155</v>
      </c>
      <c r="N47" s="7" t="n">
        <f aca="false">F47*$Q$3</f>
        <v>11</v>
      </c>
      <c r="O47" s="3"/>
      <c r="P47" s="3"/>
      <c r="Q47" s="3"/>
    </row>
    <row r="48" customFormat="false" ht="15" hidden="false" customHeight="false" outlineLevel="0" collapsed="false">
      <c r="A48" s="2" t="s">
        <v>32</v>
      </c>
      <c r="B48" s="2" t="n">
        <v>1</v>
      </c>
      <c r="C48" s="2" t="n">
        <v>31</v>
      </c>
      <c r="D48" s="2" t="n">
        <v>3</v>
      </c>
      <c r="E48" s="2" t="n">
        <v>310</v>
      </c>
      <c r="F48" s="2" t="n">
        <v>110</v>
      </c>
      <c r="G48" s="2" t="s">
        <v>37</v>
      </c>
      <c r="H48" s="6" t="str">
        <f aca="false">A48&amp;"_"&amp;B48</f>
        <v>chauas_1</v>
      </c>
      <c r="I48" s="6" t="str">
        <f aca="false">H48&amp;"_"&amp;C48&amp;"_"&amp;G48</f>
        <v>chauas_1_31_Tabebuia cassinoides</v>
      </c>
      <c r="J48" s="6" t="n">
        <f aca="false">IF(COUNTIF($I$2:I48,I48)=1,1,0)</f>
        <v>0</v>
      </c>
      <c r="K48" s="6" t="n">
        <f aca="false">E48*$Q$2</f>
        <v>31</v>
      </c>
      <c r="L48" s="7" t="n">
        <f aca="false">K48/PI()</f>
        <v>9.86760647169751</v>
      </c>
      <c r="M48" s="8" t="n">
        <f aca="false">PI()*L48^2/40000</f>
        <v>0.00764739501556557</v>
      </c>
      <c r="N48" s="7" t="n">
        <f aca="false">F48*$Q$3</f>
        <v>11</v>
      </c>
      <c r="O48" s="3"/>
      <c r="P48" s="3"/>
      <c r="Q48" s="3"/>
    </row>
    <row r="49" customFormat="false" ht="15" hidden="false" customHeight="false" outlineLevel="0" collapsed="false">
      <c r="A49" s="2" t="s">
        <v>32</v>
      </c>
      <c r="B49" s="2" t="n">
        <v>1</v>
      </c>
      <c r="C49" s="2" t="n">
        <v>32</v>
      </c>
      <c r="D49" s="2" t="n">
        <v>1</v>
      </c>
      <c r="E49" s="2" t="n">
        <v>200</v>
      </c>
      <c r="F49" s="2" t="n">
        <v>70</v>
      </c>
      <c r="G49" s="2" t="s">
        <v>37</v>
      </c>
      <c r="H49" s="6" t="str">
        <f aca="false">A49&amp;"_"&amp;B49</f>
        <v>chauas_1</v>
      </c>
      <c r="I49" s="6" t="str">
        <f aca="false">H49&amp;"_"&amp;C49&amp;"_"&amp;G49</f>
        <v>chauas_1_32_Tabebuia cassinoides</v>
      </c>
      <c r="J49" s="6" t="n">
        <f aca="false">IF(COUNTIF($I$2:I49,I49)=1,1,0)</f>
        <v>1</v>
      </c>
      <c r="K49" s="6" t="n">
        <f aca="false">E49*$Q$2</f>
        <v>20</v>
      </c>
      <c r="L49" s="7" t="n">
        <f aca="false">K49/PI()</f>
        <v>6.36619772367581</v>
      </c>
      <c r="M49" s="8" t="n">
        <f aca="false">PI()*L49^2/40000</f>
        <v>0.00318309886183791</v>
      </c>
      <c r="N49" s="7" t="n">
        <f aca="false">F49*$Q$3</f>
        <v>7</v>
      </c>
      <c r="O49" s="3"/>
      <c r="P49" s="3"/>
      <c r="Q49" s="3"/>
    </row>
    <row r="50" customFormat="false" ht="15" hidden="false" customHeight="false" outlineLevel="0" collapsed="false">
      <c r="A50" s="2" t="s">
        <v>32</v>
      </c>
      <c r="B50" s="2" t="n">
        <v>1</v>
      </c>
      <c r="C50" s="2" t="n">
        <v>32</v>
      </c>
      <c r="D50" s="2" t="n">
        <v>2</v>
      </c>
      <c r="E50" s="2" t="n">
        <v>200</v>
      </c>
      <c r="F50" s="2" t="n">
        <v>70</v>
      </c>
      <c r="G50" s="2" t="s">
        <v>37</v>
      </c>
      <c r="H50" s="6" t="str">
        <f aca="false">A50&amp;"_"&amp;B50</f>
        <v>chauas_1</v>
      </c>
      <c r="I50" s="6" t="str">
        <f aca="false">H50&amp;"_"&amp;C50&amp;"_"&amp;G50</f>
        <v>chauas_1_32_Tabebuia cassinoides</v>
      </c>
      <c r="J50" s="6" t="n">
        <f aca="false">IF(COUNTIF($I$2:I50,I50)=1,1,0)</f>
        <v>0</v>
      </c>
      <c r="K50" s="6" t="n">
        <f aca="false">E50*$Q$2</f>
        <v>20</v>
      </c>
      <c r="L50" s="7" t="n">
        <f aca="false">K50/PI()</f>
        <v>6.36619772367581</v>
      </c>
      <c r="M50" s="8" t="n">
        <f aca="false">PI()*L50^2/40000</f>
        <v>0.00318309886183791</v>
      </c>
      <c r="N50" s="7" t="n">
        <f aca="false">F50*$Q$3</f>
        <v>7</v>
      </c>
      <c r="O50" s="3"/>
      <c r="P50" s="3"/>
      <c r="Q50" s="3"/>
    </row>
    <row r="51" customFormat="false" ht="15" hidden="false" customHeight="false" outlineLevel="0" collapsed="false">
      <c r="A51" s="2" t="s">
        <v>32</v>
      </c>
      <c r="B51" s="2" t="n">
        <v>1</v>
      </c>
      <c r="C51" s="2" t="n">
        <v>33</v>
      </c>
      <c r="D51" s="2" t="n">
        <v>1</v>
      </c>
      <c r="E51" s="2" t="n">
        <v>220</v>
      </c>
      <c r="F51" s="2" t="n">
        <v>90</v>
      </c>
      <c r="G51" s="2" t="s">
        <v>37</v>
      </c>
      <c r="H51" s="6" t="str">
        <f aca="false">A51&amp;"_"&amp;B51</f>
        <v>chauas_1</v>
      </c>
      <c r="I51" s="6" t="str">
        <f aca="false">H51&amp;"_"&amp;C51&amp;"_"&amp;G51</f>
        <v>chauas_1_33_Tabebuia cassinoides</v>
      </c>
      <c r="J51" s="6" t="n">
        <f aca="false">IF(COUNTIF($I$2:I51,I51)=1,1,0)</f>
        <v>1</v>
      </c>
      <c r="K51" s="6" t="n">
        <f aca="false">E51*$Q$2</f>
        <v>22</v>
      </c>
      <c r="L51" s="7" t="n">
        <f aca="false">K51/PI()</f>
        <v>7.0028174960434</v>
      </c>
      <c r="M51" s="8" t="n">
        <f aca="false">PI()*L51^2/40000</f>
        <v>0.00385154962282387</v>
      </c>
      <c r="N51" s="7" t="n">
        <f aca="false">F51*$Q$3</f>
        <v>9</v>
      </c>
      <c r="O51" s="3"/>
      <c r="P51" s="3"/>
      <c r="Q51" s="3"/>
    </row>
    <row r="52" customFormat="false" ht="15" hidden="false" customHeight="false" outlineLevel="0" collapsed="false">
      <c r="A52" s="2" t="s">
        <v>32</v>
      </c>
      <c r="B52" s="2" t="n">
        <v>1</v>
      </c>
      <c r="C52" s="2" t="n">
        <v>33</v>
      </c>
      <c r="D52" s="2" t="n">
        <v>2</v>
      </c>
      <c r="E52" s="2" t="n">
        <v>240</v>
      </c>
      <c r="F52" s="2" t="n">
        <v>90</v>
      </c>
      <c r="G52" s="2" t="s">
        <v>37</v>
      </c>
      <c r="H52" s="6" t="str">
        <f aca="false">A52&amp;"_"&amp;B52</f>
        <v>chauas_1</v>
      </c>
      <c r="I52" s="6" t="str">
        <f aca="false">H52&amp;"_"&amp;C52&amp;"_"&amp;G52</f>
        <v>chauas_1_33_Tabebuia cassinoides</v>
      </c>
      <c r="J52" s="6" t="n">
        <f aca="false">IF(COUNTIF($I$2:I52,I52)=1,1,0)</f>
        <v>0</v>
      </c>
      <c r="K52" s="6" t="n">
        <f aca="false">E52*$Q$2</f>
        <v>24</v>
      </c>
      <c r="L52" s="7" t="n">
        <f aca="false">K52/PI()</f>
        <v>7.63943726841098</v>
      </c>
      <c r="M52" s="8" t="n">
        <f aca="false">PI()*L52^2/40000</f>
        <v>0.00458366236104659</v>
      </c>
      <c r="N52" s="7" t="n">
        <f aca="false">F52*$Q$3</f>
        <v>9</v>
      </c>
      <c r="O52" s="3"/>
      <c r="P52" s="3"/>
      <c r="Q52" s="3"/>
    </row>
    <row r="53" customFormat="false" ht="15" hidden="false" customHeight="false" outlineLevel="0" collapsed="false">
      <c r="A53" s="2" t="s">
        <v>32</v>
      </c>
      <c r="B53" s="2" t="n">
        <v>1</v>
      </c>
      <c r="C53" s="2" t="n">
        <v>34</v>
      </c>
      <c r="D53" s="2" t="n">
        <v>1</v>
      </c>
      <c r="E53" s="2" t="n">
        <v>160</v>
      </c>
      <c r="F53" s="2" t="n">
        <v>90</v>
      </c>
      <c r="G53" s="2" t="s">
        <v>44</v>
      </c>
      <c r="H53" s="6" t="str">
        <f aca="false">A53&amp;"_"&amp;B53</f>
        <v>chauas_1</v>
      </c>
      <c r="I53" s="6" t="str">
        <f aca="false">H53&amp;"_"&amp;C53&amp;"_"&amp;G53</f>
        <v>chauas_1_34_Psidium sp</v>
      </c>
      <c r="J53" s="6" t="n">
        <f aca="false">IF(COUNTIF($I$2:I53,I53)=1,1,0)</f>
        <v>1</v>
      </c>
      <c r="K53" s="6" t="n">
        <f aca="false">E53*$Q$2</f>
        <v>16</v>
      </c>
      <c r="L53" s="7" t="n">
        <f aca="false">K53/PI()</f>
        <v>5.09295817894065</v>
      </c>
      <c r="M53" s="8" t="n">
        <f aca="false">PI()*L53^2/40000</f>
        <v>0.00203718327157626</v>
      </c>
      <c r="N53" s="7" t="n">
        <f aca="false">F53*$Q$3</f>
        <v>9</v>
      </c>
      <c r="O53" s="3"/>
      <c r="P53" s="3"/>
      <c r="Q53" s="3"/>
    </row>
    <row r="54" customFormat="false" ht="15" hidden="false" customHeight="false" outlineLevel="0" collapsed="false">
      <c r="A54" s="2" t="s">
        <v>32</v>
      </c>
      <c r="B54" s="2" t="n">
        <v>1</v>
      </c>
      <c r="C54" s="2" t="n">
        <v>34</v>
      </c>
      <c r="D54" s="2" t="n">
        <v>2</v>
      </c>
      <c r="E54" s="2" t="n">
        <v>160</v>
      </c>
      <c r="F54" s="2" t="n">
        <v>90</v>
      </c>
      <c r="G54" s="2" t="s">
        <v>44</v>
      </c>
      <c r="H54" s="6" t="str">
        <f aca="false">A54&amp;"_"&amp;B54</f>
        <v>chauas_1</v>
      </c>
      <c r="I54" s="6" t="str">
        <f aca="false">H54&amp;"_"&amp;C54&amp;"_"&amp;G54</f>
        <v>chauas_1_34_Psidium sp</v>
      </c>
      <c r="J54" s="6" t="n">
        <f aca="false">IF(COUNTIF($I$2:I54,I54)=1,1,0)</f>
        <v>0</v>
      </c>
      <c r="K54" s="6" t="n">
        <f aca="false">E54*$Q$2</f>
        <v>16</v>
      </c>
      <c r="L54" s="7" t="n">
        <f aca="false">K54/PI()</f>
        <v>5.09295817894065</v>
      </c>
      <c r="M54" s="8" t="n">
        <f aca="false">PI()*L54^2/40000</f>
        <v>0.00203718327157626</v>
      </c>
      <c r="N54" s="7" t="n">
        <f aca="false">F54*$Q$3</f>
        <v>9</v>
      </c>
      <c r="O54" s="3"/>
      <c r="P54" s="3"/>
      <c r="Q54" s="3"/>
    </row>
    <row r="55" customFormat="false" ht="15" hidden="false" customHeight="false" outlineLevel="0" collapsed="false">
      <c r="A55" s="2" t="s">
        <v>32</v>
      </c>
      <c r="B55" s="2" t="n">
        <v>1</v>
      </c>
      <c r="C55" s="2" t="n">
        <v>34</v>
      </c>
      <c r="D55" s="2" t="n">
        <v>3</v>
      </c>
      <c r="E55" s="2" t="n">
        <v>170</v>
      </c>
      <c r="F55" s="2" t="n">
        <v>90</v>
      </c>
      <c r="G55" s="2" t="s">
        <v>44</v>
      </c>
      <c r="H55" s="6" t="str">
        <f aca="false">A55&amp;"_"&amp;B55</f>
        <v>chauas_1</v>
      </c>
      <c r="I55" s="6" t="str">
        <f aca="false">H55&amp;"_"&amp;C55&amp;"_"&amp;G55</f>
        <v>chauas_1_34_Psidium sp</v>
      </c>
      <c r="J55" s="6" t="n">
        <f aca="false">IF(COUNTIF($I$2:I55,I55)=1,1,0)</f>
        <v>0</v>
      </c>
      <c r="K55" s="6" t="n">
        <f aca="false">E55*$Q$2</f>
        <v>17</v>
      </c>
      <c r="L55" s="7" t="n">
        <f aca="false">K55/PI()</f>
        <v>5.41126806512444</v>
      </c>
      <c r="M55" s="8" t="n">
        <f aca="false">PI()*L55^2/40000</f>
        <v>0.00229978892767789</v>
      </c>
      <c r="N55" s="7" t="n">
        <f aca="false">F55*$Q$3</f>
        <v>9</v>
      </c>
      <c r="O55" s="3"/>
      <c r="P55" s="3"/>
      <c r="Q55" s="3"/>
    </row>
    <row r="56" customFormat="false" ht="15" hidden="false" customHeight="false" outlineLevel="0" collapsed="false">
      <c r="A56" s="2" t="s">
        <v>32</v>
      </c>
      <c r="B56" s="2" t="n">
        <v>1</v>
      </c>
      <c r="C56" s="2" t="n">
        <v>35</v>
      </c>
      <c r="D56" s="2" t="n">
        <v>1</v>
      </c>
      <c r="E56" s="2" t="n">
        <v>230</v>
      </c>
      <c r="F56" s="2" t="n">
        <v>70</v>
      </c>
      <c r="G56" s="2" t="s">
        <v>37</v>
      </c>
      <c r="H56" s="6" t="str">
        <f aca="false">A56&amp;"_"&amp;B56</f>
        <v>chauas_1</v>
      </c>
      <c r="I56" s="6" t="str">
        <f aca="false">H56&amp;"_"&amp;C56&amp;"_"&amp;G56</f>
        <v>chauas_1_35_Tabebuia cassinoides</v>
      </c>
      <c r="J56" s="6" t="n">
        <f aca="false">IF(COUNTIF($I$2:I56,I56)=1,1,0)</f>
        <v>1</v>
      </c>
      <c r="K56" s="6" t="n">
        <f aca="false">E56*$Q$2</f>
        <v>23</v>
      </c>
      <c r="L56" s="7" t="n">
        <f aca="false">K56/PI()</f>
        <v>7.32112738222719</v>
      </c>
      <c r="M56" s="8" t="n">
        <f aca="false">PI()*L56^2/40000</f>
        <v>0.00420964824478063</v>
      </c>
      <c r="N56" s="7" t="n">
        <f aca="false">F56*$Q$3</f>
        <v>7</v>
      </c>
      <c r="O56" s="3"/>
      <c r="P56" s="3"/>
      <c r="Q56" s="3"/>
    </row>
    <row r="57" customFormat="false" ht="15" hidden="false" customHeight="false" outlineLevel="0" collapsed="false">
      <c r="A57" s="2" t="s">
        <v>32</v>
      </c>
      <c r="B57" s="2" t="n">
        <v>1</v>
      </c>
      <c r="C57" s="2" t="n">
        <v>35</v>
      </c>
      <c r="D57" s="2" t="n">
        <v>2</v>
      </c>
      <c r="E57" s="2" t="n">
        <v>310</v>
      </c>
      <c r="F57" s="2" t="n">
        <v>70</v>
      </c>
      <c r="G57" s="2" t="s">
        <v>37</v>
      </c>
      <c r="H57" s="6" t="str">
        <f aca="false">A57&amp;"_"&amp;B57</f>
        <v>chauas_1</v>
      </c>
      <c r="I57" s="6" t="str">
        <f aca="false">H57&amp;"_"&amp;C57&amp;"_"&amp;G57</f>
        <v>chauas_1_35_Tabebuia cassinoides</v>
      </c>
      <c r="J57" s="6" t="n">
        <f aca="false">IF(COUNTIF($I$2:I57,I57)=1,1,0)</f>
        <v>0</v>
      </c>
      <c r="K57" s="6" t="n">
        <f aca="false">E57*$Q$2</f>
        <v>31</v>
      </c>
      <c r="L57" s="7" t="n">
        <f aca="false">K57/PI()</f>
        <v>9.86760647169751</v>
      </c>
      <c r="M57" s="8" t="n">
        <f aca="false">PI()*L57^2/40000</f>
        <v>0.00764739501556557</v>
      </c>
      <c r="N57" s="7" t="n">
        <f aca="false">F57*$Q$3</f>
        <v>7</v>
      </c>
      <c r="O57" s="3"/>
      <c r="P57" s="3"/>
      <c r="Q57" s="3"/>
    </row>
    <row r="58" customFormat="false" ht="15" hidden="false" customHeight="false" outlineLevel="0" collapsed="false">
      <c r="A58" s="2" t="s">
        <v>32</v>
      </c>
      <c r="B58" s="2" t="n">
        <v>1</v>
      </c>
      <c r="C58" s="2" t="n">
        <v>36</v>
      </c>
      <c r="D58" s="2" t="n">
        <v>1</v>
      </c>
      <c r="E58" s="2" t="n">
        <v>340</v>
      </c>
      <c r="F58" s="2" t="n">
        <v>110</v>
      </c>
      <c r="G58" s="2" t="s">
        <v>37</v>
      </c>
      <c r="H58" s="6" t="str">
        <f aca="false">A58&amp;"_"&amp;B58</f>
        <v>chauas_1</v>
      </c>
      <c r="I58" s="6" t="str">
        <f aca="false">H58&amp;"_"&amp;C58&amp;"_"&amp;G58</f>
        <v>chauas_1_36_Tabebuia cassinoides</v>
      </c>
      <c r="J58" s="6" t="n">
        <f aca="false">IF(COUNTIF($I$2:I58,I58)=1,1,0)</f>
        <v>1</v>
      </c>
      <c r="K58" s="6" t="n">
        <f aca="false">E58*$Q$2</f>
        <v>34</v>
      </c>
      <c r="L58" s="7" t="n">
        <f aca="false">K58/PI()</f>
        <v>10.8225361302489</v>
      </c>
      <c r="M58" s="8" t="n">
        <f aca="false">PI()*L58^2/40000</f>
        <v>0.00919915571071155</v>
      </c>
      <c r="N58" s="7" t="n">
        <f aca="false">F58*$Q$3</f>
        <v>11</v>
      </c>
      <c r="O58" s="3"/>
      <c r="P58" s="3"/>
      <c r="Q58" s="3"/>
    </row>
    <row r="59" customFormat="false" ht="15" hidden="false" customHeight="false" outlineLevel="0" collapsed="false">
      <c r="A59" s="2" t="s">
        <v>32</v>
      </c>
      <c r="B59" s="2" t="n">
        <v>1</v>
      </c>
      <c r="C59" s="2" t="n">
        <v>36</v>
      </c>
      <c r="D59" s="2" t="n">
        <v>2</v>
      </c>
      <c r="E59" s="2" t="n">
        <v>210</v>
      </c>
      <c r="F59" s="2" t="n">
        <v>110</v>
      </c>
      <c r="G59" s="2" t="s">
        <v>37</v>
      </c>
      <c r="H59" s="6" t="str">
        <f aca="false">A59&amp;"_"&amp;B59</f>
        <v>chauas_1</v>
      </c>
      <c r="I59" s="6" t="str">
        <f aca="false">H59&amp;"_"&amp;C59&amp;"_"&amp;G59</f>
        <v>chauas_1_36_Tabebuia cassinoides</v>
      </c>
      <c r="J59" s="6" t="n">
        <f aca="false">IF(COUNTIF($I$2:I59,I59)=1,1,0)</f>
        <v>0</v>
      </c>
      <c r="K59" s="6" t="n">
        <f aca="false">E59*$Q$2</f>
        <v>21</v>
      </c>
      <c r="L59" s="7" t="n">
        <f aca="false">K59/PI()</f>
        <v>6.68450760985961</v>
      </c>
      <c r="M59" s="8" t="n">
        <f aca="false">PI()*L59^2/40000</f>
        <v>0.00350936649517629</v>
      </c>
      <c r="N59" s="7" t="n">
        <f aca="false">F59*$Q$3</f>
        <v>11</v>
      </c>
      <c r="O59" s="3"/>
      <c r="P59" s="3"/>
      <c r="Q59" s="3"/>
    </row>
    <row r="60" customFormat="false" ht="15" hidden="false" customHeight="false" outlineLevel="0" collapsed="false">
      <c r="A60" s="2" t="s">
        <v>32</v>
      </c>
      <c r="B60" s="2" t="n">
        <v>1</v>
      </c>
      <c r="C60" s="2" t="n">
        <v>37</v>
      </c>
      <c r="D60" s="2" t="n">
        <v>1</v>
      </c>
      <c r="E60" s="2" t="n">
        <v>270</v>
      </c>
      <c r="F60" s="2" t="n">
        <v>100</v>
      </c>
      <c r="G60" s="2" t="s">
        <v>37</v>
      </c>
      <c r="H60" s="6" t="str">
        <f aca="false">A60&amp;"_"&amp;B60</f>
        <v>chauas_1</v>
      </c>
      <c r="I60" s="6" t="str">
        <f aca="false">H60&amp;"_"&amp;C60&amp;"_"&amp;G60</f>
        <v>chauas_1_37_Tabebuia cassinoides</v>
      </c>
      <c r="J60" s="6" t="n">
        <f aca="false">IF(COUNTIF($I$2:I60,I60)=1,1,0)</f>
        <v>1</v>
      </c>
      <c r="K60" s="6" t="n">
        <f aca="false">E60*$Q$2</f>
        <v>27</v>
      </c>
      <c r="L60" s="7" t="n">
        <f aca="false">K60/PI()</f>
        <v>8.59436692696235</v>
      </c>
      <c r="M60" s="8" t="n">
        <f aca="false">PI()*L60^2/40000</f>
        <v>0.00580119767569958</v>
      </c>
      <c r="N60" s="7" t="n">
        <f aca="false">F60*$Q$3</f>
        <v>10</v>
      </c>
      <c r="O60" s="3"/>
      <c r="P60" s="3"/>
      <c r="Q60" s="3"/>
    </row>
    <row r="61" customFormat="false" ht="15" hidden="false" customHeight="false" outlineLevel="0" collapsed="false">
      <c r="A61" s="2" t="s">
        <v>32</v>
      </c>
      <c r="B61" s="2" t="n">
        <v>1</v>
      </c>
      <c r="C61" s="2" t="n">
        <v>38</v>
      </c>
      <c r="D61" s="2" t="n">
        <v>1</v>
      </c>
      <c r="E61" s="2" t="n">
        <v>330</v>
      </c>
      <c r="F61" s="2" t="n">
        <v>90</v>
      </c>
      <c r="G61" s="2" t="s">
        <v>37</v>
      </c>
      <c r="H61" s="6" t="str">
        <f aca="false">A61&amp;"_"&amp;B61</f>
        <v>chauas_1</v>
      </c>
      <c r="I61" s="6" t="str">
        <f aca="false">H61&amp;"_"&amp;C61&amp;"_"&amp;G61</f>
        <v>chauas_1_38_Tabebuia cassinoides</v>
      </c>
      <c r="J61" s="6" t="n">
        <f aca="false">IF(COUNTIF($I$2:I61,I61)=1,1,0)</f>
        <v>1</v>
      </c>
      <c r="K61" s="6" t="n">
        <f aca="false">E61*$Q$2</f>
        <v>33</v>
      </c>
      <c r="L61" s="7" t="n">
        <f aca="false">K61/PI()</f>
        <v>10.5042262440651</v>
      </c>
      <c r="M61" s="8" t="n">
        <f aca="false">PI()*L61^2/40000</f>
        <v>0.0086659866513537</v>
      </c>
      <c r="N61" s="7" t="n">
        <f aca="false">F61*$Q$3</f>
        <v>9</v>
      </c>
      <c r="O61" s="3"/>
      <c r="P61" s="3"/>
      <c r="Q61" s="3"/>
    </row>
    <row r="62" customFormat="false" ht="15" hidden="false" customHeight="false" outlineLevel="0" collapsed="false">
      <c r="A62" s="2" t="s">
        <v>32</v>
      </c>
      <c r="B62" s="2" t="n">
        <v>1</v>
      </c>
      <c r="C62" s="2" t="n">
        <v>39</v>
      </c>
      <c r="D62" s="2" t="n">
        <v>1</v>
      </c>
      <c r="E62" s="2" t="n">
        <v>450</v>
      </c>
      <c r="F62" s="2" t="n">
        <v>120</v>
      </c>
      <c r="G62" s="2" t="s">
        <v>37</v>
      </c>
      <c r="H62" s="6" t="str">
        <f aca="false">A62&amp;"_"&amp;B62</f>
        <v>chauas_1</v>
      </c>
      <c r="I62" s="6" t="str">
        <f aca="false">H62&amp;"_"&amp;C62&amp;"_"&amp;G62</f>
        <v>chauas_1_39_Tabebuia cassinoides</v>
      </c>
      <c r="J62" s="6" t="n">
        <f aca="false">IF(COUNTIF($I$2:I62,I62)=1,1,0)</f>
        <v>1</v>
      </c>
      <c r="K62" s="6" t="n">
        <f aca="false">E62*$Q$2</f>
        <v>45</v>
      </c>
      <c r="L62" s="7" t="n">
        <f aca="false">K62/PI()</f>
        <v>14.3239448782706</v>
      </c>
      <c r="M62" s="8" t="n">
        <f aca="false">PI()*L62^2/40000</f>
        <v>0.0161144379880544</v>
      </c>
      <c r="N62" s="7" t="n">
        <f aca="false">F62*$Q$3</f>
        <v>12</v>
      </c>
      <c r="O62" s="3"/>
      <c r="P62" s="3"/>
      <c r="Q62" s="3"/>
    </row>
    <row r="63" customFormat="false" ht="15" hidden="false" customHeight="false" outlineLevel="0" collapsed="false">
      <c r="A63" s="2" t="s">
        <v>32</v>
      </c>
      <c r="B63" s="2" t="n">
        <v>1</v>
      </c>
      <c r="C63" s="2" t="n">
        <v>39</v>
      </c>
      <c r="D63" s="2" t="n">
        <v>2</v>
      </c>
      <c r="E63" s="2" t="n">
        <v>160</v>
      </c>
      <c r="F63" s="2" t="n">
        <v>120</v>
      </c>
      <c r="G63" s="2" t="s">
        <v>37</v>
      </c>
      <c r="H63" s="6" t="str">
        <f aca="false">A63&amp;"_"&amp;B63</f>
        <v>chauas_1</v>
      </c>
      <c r="I63" s="6" t="str">
        <f aca="false">H63&amp;"_"&amp;C63&amp;"_"&amp;G63</f>
        <v>chauas_1_39_Tabebuia cassinoides</v>
      </c>
      <c r="J63" s="6" t="n">
        <f aca="false">IF(COUNTIF($I$2:I63,I63)=1,1,0)</f>
        <v>0</v>
      </c>
      <c r="K63" s="6" t="n">
        <f aca="false">E63*$Q$2</f>
        <v>16</v>
      </c>
      <c r="L63" s="7" t="n">
        <f aca="false">K63/PI()</f>
        <v>5.09295817894065</v>
      </c>
      <c r="M63" s="8" t="n">
        <f aca="false">PI()*L63^2/40000</f>
        <v>0.00203718327157626</v>
      </c>
      <c r="N63" s="7" t="n">
        <f aca="false">F63*$Q$3</f>
        <v>12</v>
      </c>
      <c r="O63" s="3"/>
      <c r="P63" s="3"/>
      <c r="Q63" s="3"/>
    </row>
    <row r="64" customFormat="false" ht="15" hidden="false" customHeight="false" outlineLevel="0" collapsed="false">
      <c r="A64" s="2" t="s">
        <v>32</v>
      </c>
      <c r="B64" s="2" t="n">
        <v>1</v>
      </c>
      <c r="C64" s="2" t="n">
        <v>39</v>
      </c>
      <c r="D64" s="2" t="n">
        <v>3</v>
      </c>
      <c r="E64" s="2" t="n">
        <v>350</v>
      </c>
      <c r="F64" s="2" t="n">
        <v>120</v>
      </c>
      <c r="G64" s="2" t="s">
        <v>37</v>
      </c>
      <c r="H64" s="6" t="str">
        <f aca="false">A64&amp;"_"&amp;B64</f>
        <v>chauas_1</v>
      </c>
      <c r="I64" s="6" t="str">
        <f aca="false">H64&amp;"_"&amp;C64&amp;"_"&amp;G64</f>
        <v>chauas_1_39_Tabebuia cassinoides</v>
      </c>
      <c r="J64" s="6" t="n">
        <f aca="false">IF(COUNTIF($I$2:I64,I64)=1,1,0)</f>
        <v>0</v>
      </c>
      <c r="K64" s="6" t="n">
        <f aca="false">E64*$Q$2</f>
        <v>35</v>
      </c>
      <c r="L64" s="7" t="n">
        <f aca="false">K64/PI()</f>
        <v>11.1408460164327</v>
      </c>
      <c r="M64" s="8" t="n">
        <f aca="false">PI()*L64^2/40000</f>
        <v>0.00974824026437859</v>
      </c>
      <c r="N64" s="7" t="n">
        <f aca="false">F64*$Q$3</f>
        <v>12</v>
      </c>
      <c r="O64" s="3"/>
      <c r="P64" s="3"/>
      <c r="Q64" s="3"/>
    </row>
    <row r="65" customFormat="false" ht="15" hidden="false" customHeight="false" outlineLevel="0" collapsed="false">
      <c r="A65" s="2" t="s">
        <v>32</v>
      </c>
      <c r="B65" s="2" t="n">
        <v>1</v>
      </c>
      <c r="C65" s="2" t="n">
        <v>40</v>
      </c>
      <c r="D65" s="2" t="n">
        <v>1</v>
      </c>
      <c r="E65" s="2" t="n">
        <v>320</v>
      </c>
      <c r="F65" s="2" t="n">
        <v>60</v>
      </c>
      <c r="G65" s="2" t="s">
        <v>33</v>
      </c>
      <c r="H65" s="6" t="str">
        <f aca="false">A65&amp;"_"&amp;B65</f>
        <v>chauas_1</v>
      </c>
      <c r="I65" s="6" t="str">
        <f aca="false">H65&amp;"_"&amp;C65&amp;"_"&amp;G65</f>
        <v>chauas_1_40_Myrcia sulfiflora</v>
      </c>
      <c r="J65" s="6" t="n">
        <f aca="false">IF(COUNTIF($I$2:I65,I65)=1,1,0)</f>
        <v>1</v>
      </c>
      <c r="K65" s="6" t="n">
        <f aca="false">E65*$Q$2</f>
        <v>32</v>
      </c>
      <c r="L65" s="7" t="n">
        <f aca="false">K65/PI()</f>
        <v>10.1859163578813</v>
      </c>
      <c r="M65" s="8" t="n">
        <f aca="false">PI()*L65^2/40000</f>
        <v>0.00814873308630504</v>
      </c>
      <c r="N65" s="7" t="n">
        <f aca="false">F65*$Q$3</f>
        <v>6</v>
      </c>
      <c r="O65" s="3"/>
      <c r="P65" s="3"/>
      <c r="Q65" s="3"/>
    </row>
    <row r="66" customFormat="false" ht="15" hidden="false" customHeight="false" outlineLevel="0" collapsed="false">
      <c r="A66" s="2" t="s">
        <v>32</v>
      </c>
      <c r="B66" s="2" t="n">
        <v>1</v>
      </c>
      <c r="C66" s="2" t="n">
        <v>41</v>
      </c>
      <c r="D66" s="2" t="n">
        <v>1</v>
      </c>
      <c r="E66" s="2" t="n">
        <v>340</v>
      </c>
      <c r="F66" s="2" t="n">
        <v>90</v>
      </c>
      <c r="G66" s="2" t="s">
        <v>37</v>
      </c>
      <c r="H66" s="6" t="str">
        <f aca="false">A66&amp;"_"&amp;B66</f>
        <v>chauas_1</v>
      </c>
      <c r="I66" s="6" t="str">
        <f aca="false">H66&amp;"_"&amp;C66&amp;"_"&amp;G66</f>
        <v>chauas_1_41_Tabebuia cassinoides</v>
      </c>
      <c r="J66" s="6" t="n">
        <f aca="false">IF(COUNTIF($I$2:I66,I66)=1,1,0)</f>
        <v>1</v>
      </c>
      <c r="K66" s="6" t="n">
        <f aca="false">E66*$Q$2</f>
        <v>34</v>
      </c>
      <c r="L66" s="7" t="n">
        <f aca="false">K66/PI()</f>
        <v>10.8225361302489</v>
      </c>
      <c r="M66" s="8" t="n">
        <f aca="false">PI()*L66^2/40000</f>
        <v>0.00919915571071155</v>
      </c>
      <c r="N66" s="7" t="n">
        <f aca="false">F66*$Q$3</f>
        <v>9</v>
      </c>
      <c r="O66" s="3"/>
      <c r="P66" s="3"/>
      <c r="Q66" s="3"/>
    </row>
    <row r="67" customFormat="false" ht="15" hidden="false" customHeight="false" outlineLevel="0" collapsed="false">
      <c r="A67" s="2" t="s">
        <v>32</v>
      </c>
      <c r="B67" s="2" t="n">
        <v>1</v>
      </c>
      <c r="C67" s="2" t="n">
        <v>41</v>
      </c>
      <c r="D67" s="2" t="n">
        <v>2</v>
      </c>
      <c r="E67" s="2" t="n">
        <v>280</v>
      </c>
      <c r="F67" s="2" t="n">
        <v>90</v>
      </c>
      <c r="G67" s="2" t="s">
        <v>37</v>
      </c>
      <c r="H67" s="6" t="str">
        <f aca="false">A67&amp;"_"&amp;B67</f>
        <v>chauas_1</v>
      </c>
      <c r="I67" s="6" t="str">
        <f aca="false">H67&amp;"_"&amp;C67&amp;"_"&amp;G67</f>
        <v>chauas_1_41_Tabebuia cassinoides</v>
      </c>
      <c r="J67" s="6" t="n">
        <f aca="false">IF(COUNTIF($I$2:I67,I67)=1,1,0)</f>
        <v>0</v>
      </c>
      <c r="K67" s="6" t="n">
        <f aca="false">E67*$Q$2</f>
        <v>28</v>
      </c>
      <c r="L67" s="7" t="n">
        <f aca="false">K67/PI()</f>
        <v>8.91267681314614</v>
      </c>
      <c r="M67" s="8" t="n">
        <f aca="false">PI()*L67^2/40000</f>
        <v>0.0062388737692023</v>
      </c>
      <c r="N67" s="7" t="n">
        <f aca="false">F67*$Q$3</f>
        <v>9</v>
      </c>
      <c r="O67" s="3"/>
      <c r="P67" s="3"/>
      <c r="Q67" s="3"/>
    </row>
    <row r="68" customFormat="false" ht="15" hidden="false" customHeight="false" outlineLevel="0" collapsed="false">
      <c r="A68" s="2" t="s">
        <v>32</v>
      </c>
      <c r="B68" s="2" t="n">
        <v>1</v>
      </c>
      <c r="C68" s="2" t="n">
        <v>42</v>
      </c>
      <c r="D68" s="2" t="n">
        <v>1</v>
      </c>
      <c r="E68" s="2" t="n">
        <v>200</v>
      </c>
      <c r="F68" s="2" t="n">
        <v>80</v>
      </c>
      <c r="G68" s="2" t="s">
        <v>37</v>
      </c>
      <c r="H68" s="6" t="str">
        <f aca="false">A68&amp;"_"&amp;B68</f>
        <v>chauas_1</v>
      </c>
      <c r="I68" s="6" t="str">
        <f aca="false">H68&amp;"_"&amp;C68&amp;"_"&amp;G68</f>
        <v>chauas_1_42_Tabebuia cassinoides</v>
      </c>
      <c r="J68" s="6" t="n">
        <f aca="false">IF(COUNTIF($I$2:I68,I68)=1,1,0)</f>
        <v>1</v>
      </c>
      <c r="K68" s="6" t="n">
        <f aca="false">E68*$Q$2</f>
        <v>20</v>
      </c>
      <c r="L68" s="7" t="n">
        <f aca="false">K68/PI()</f>
        <v>6.36619772367581</v>
      </c>
      <c r="M68" s="8" t="n">
        <f aca="false">PI()*L68^2/40000</f>
        <v>0.00318309886183791</v>
      </c>
      <c r="N68" s="7" t="n">
        <f aca="false">F68*$Q$3</f>
        <v>8</v>
      </c>
      <c r="O68" s="3"/>
      <c r="P68" s="3"/>
      <c r="Q68" s="3"/>
    </row>
    <row r="69" customFormat="false" ht="15" hidden="false" customHeight="false" outlineLevel="0" collapsed="false">
      <c r="A69" s="2" t="s">
        <v>32</v>
      </c>
      <c r="B69" s="2" t="n">
        <v>1</v>
      </c>
      <c r="C69" s="2" t="n">
        <v>43</v>
      </c>
      <c r="D69" s="2" t="n">
        <v>1</v>
      </c>
      <c r="E69" s="2" t="n">
        <v>270</v>
      </c>
      <c r="F69" s="2" t="n">
        <v>50</v>
      </c>
      <c r="G69" s="2" t="s">
        <v>33</v>
      </c>
      <c r="H69" s="6" t="str">
        <f aca="false">A69&amp;"_"&amp;B69</f>
        <v>chauas_1</v>
      </c>
      <c r="I69" s="6" t="str">
        <f aca="false">H69&amp;"_"&amp;C69&amp;"_"&amp;G69</f>
        <v>chauas_1_43_Myrcia sulfiflora</v>
      </c>
      <c r="J69" s="6" t="n">
        <f aca="false">IF(COUNTIF($I$2:I69,I69)=1,1,0)</f>
        <v>1</v>
      </c>
      <c r="K69" s="6" t="n">
        <f aca="false">E69*$Q$2</f>
        <v>27</v>
      </c>
      <c r="L69" s="7" t="n">
        <f aca="false">K69/PI()</f>
        <v>8.59436692696235</v>
      </c>
      <c r="M69" s="8" t="n">
        <f aca="false">PI()*L69^2/40000</f>
        <v>0.00580119767569958</v>
      </c>
      <c r="N69" s="7" t="n">
        <f aca="false">F69*$Q$3</f>
        <v>5</v>
      </c>
      <c r="O69" s="3"/>
      <c r="P69" s="3"/>
      <c r="Q69" s="3"/>
    </row>
    <row r="70" customFormat="false" ht="15" hidden="false" customHeight="false" outlineLevel="0" collapsed="false">
      <c r="A70" s="2" t="s">
        <v>32</v>
      </c>
      <c r="B70" s="2" t="n">
        <v>1</v>
      </c>
      <c r="C70" s="2" t="n">
        <v>44</v>
      </c>
      <c r="D70" s="2" t="n">
        <v>1</v>
      </c>
      <c r="E70" s="2" t="n">
        <v>300</v>
      </c>
      <c r="F70" s="2" t="n">
        <v>90</v>
      </c>
      <c r="G70" s="2" t="s">
        <v>37</v>
      </c>
      <c r="H70" s="6" t="str">
        <f aca="false">A70&amp;"_"&amp;B70</f>
        <v>chauas_1</v>
      </c>
      <c r="I70" s="6" t="str">
        <f aca="false">H70&amp;"_"&amp;C70&amp;"_"&amp;G70</f>
        <v>chauas_1_44_Tabebuia cassinoides</v>
      </c>
      <c r="J70" s="6" t="n">
        <f aca="false">IF(COUNTIF($I$2:I70,I70)=1,1,0)</f>
        <v>1</v>
      </c>
      <c r="K70" s="6" t="n">
        <f aca="false">E70*$Q$2</f>
        <v>30</v>
      </c>
      <c r="L70" s="7" t="n">
        <f aca="false">K70/PI()</f>
        <v>9.54929658551372</v>
      </c>
      <c r="M70" s="8" t="n">
        <f aca="false">PI()*L70^2/40000</f>
        <v>0.00716197243913529</v>
      </c>
      <c r="N70" s="7" t="n">
        <f aca="false">F70*$Q$3</f>
        <v>9</v>
      </c>
      <c r="O70" s="3"/>
      <c r="P70" s="3"/>
      <c r="Q70" s="3"/>
    </row>
    <row r="71" customFormat="false" ht="15" hidden="false" customHeight="false" outlineLevel="0" collapsed="false">
      <c r="A71" s="2" t="s">
        <v>32</v>
      </c>
      <c r="B71" s="2" t="n">
        <v>1</v>
      </c>
      <c r="C71" s="2" t="n">
        <v>44</v>
      </c>
      <c r="D71" s="2" t="n">
        <v>2</v>
      </c>
      <c r="E71" s="2" t="n">
        <v>220</v>
      </c>
      <c r="F71" s="2" t="n">
        <v>90</v>
      </c>
      <c r="G71" s="2" t="s">
        <v>37</v>
      </c>
      <c r="H71" s="6" t="str">
        <f aca="false">A71&amp;"_"&amp;B71</f>
        <v>chauas_1</v>
      </c>
      <c r="I71" s="6" t="str">
        <f aca="false">H71&amp;"_"&amp;C71&amp;"_"&amp;G71</f>
        <v>chauas_1_44_Tabebuia cassinoides</v>
      </c>
      <c r="J71" s="6" t="n">
        <f aca="false">IF(COUNTIF($I$2:I71,I71)=1,1,0)</f>
        <v>0</v>
      </c>
      <c r="K71" s="6" t="n">
        <f aca="false">E71*$Q$2</f>
        <v>22</v>
      </c>
      <c r="L71" s="7" t="n">
        <f aca="false">K71/PI()</f>
        <v>7.0028174960434</v>
      </c>
      <c r="M71" s="8" t="n">
        <f aca="false">PI()*L71^2/40000</f>
        <v>0.00385154962282387</v>
      </c>
      <c r="N71" s="7" t="n">
        <f aca="false">F71*$Q$3</f>
        <v>9</v>
      </c>
      <c r="O71" s="3"/>
      <c r="P71" s="3"/>
      <c r="Q71" s="3"/>
    </row>
    <row r="72" customFormat="false" ht="15" hidden="false" customHeight="false" outlineLevel="0" collapsed="false">
      <c r="A72" s="2" t="s">
        <v>32</v>
      </c>
      <c r="B72" s="2" t="n">
        <v>1</v>
      </c>
      <c r="C72" s="2" t="n">
        <v>45</v>
      </c>
      <c r="D72" s="2" t="n">
        <v>1</v>
      </c>
      <c r="E72" s="2" t="n">
        <v>250</v>
      </c>
      <c r="F72" s="2" t="n">
        <v>80</v>
      </c>
      <c r="G72" s="2" t="s">
        <v>45</v>
      </c>
      <c r="H72" s="6" t="str">
        <f aca="false">A72&amp;"_"&amp;B72</f>
        <v>chauas_1</v>
      </c>
      <c r="I72" s="6" t="str">
        <f aca="false">H72&amp;"_"&amp;C72&amp;"_"&amp;G72</f>
        <v>chauas_1_45_Coussapoa micropoda</v>
      </c>
      <c r="J72" s="6" t="n">
        <f aca="false">IF(COUNTIF($I$2:I72,I72)=1,1,0)</f>
        <v>1</v>
      </c>
      <c r="K72" s="6" t="n">
        <f aca="false">E72*$Q$2</f>
        <v>25</v>
      </c>
      <c r="L72" s="7" t="n">
        <f aca="false">K72/PI()</f>
        <v>7.95774715459477</v>
      </c>
      <c r="M72" s="8" t="n">
        <f aca="false">PI()*L72^2/40000</f>
        <v>0.00497359197162173</v>
      </c>
      <c r="N72" s="7" t="n">
        <f aca="false">F72*$Q$3</f>
        <v>8</v>
      </c>
      <c r="O72" s="3"/>
      <c r="P72" s="3"/>
      <c r="Q72" s="3"/>
    </row>
    <row r="73" customFormat="false" ht="15" hidden="false" customHeight="false" outlineLevel="0" collapsed="false">
      <c r="A73" s="2" t="s">
        <v>32</v>
      </c>
      <c r="B73" s="2" t="n">
        <v>1</v>
      </c>
      <c r="C73" s="2" t="n">
        <v>45</v>
      </c>
      <c r="D73" s="2" t="n">
        <v>2</v>
      </c>
      <c r="E73" s="2" t="n">
        <v>220</v>
      </c>
      <c r="F73" s="2" t="n">
        <v>80</v>
      </c>
      <c r="G73" s="2" t="s">
        <v>45</v>
      </c>
      <c r="H73" s="6" t="str">
        <f aca="false">A73&amp;"_"&amp;B73</f>
        <v>chauas_1</v>
      </c>
      <c r="I73" s="6" t="str">
        <f aca="false">H73&amp;"_"&amp;C73&amp;"_"&amp;G73</f>
        <v>chauas_1_45_Coussapoa micropoda</v>
      </c>
      <c r="J73" s="6" t="n">
        <f aca="false">IF(COUNTIF($I$2:I73,I73)=1,1,0)</f>
        <v>0</v>
      </c>
      <c r="K73" s="6" t="n">
        <f aca="false">E73*$Q$2</f>
        <v>22</v>
      </c>
      <c r="L73" s="7" t="n">
        <f aca="false">K73/PI()</f>
        <v>7.0028174960434</v>
      </c>
      <c r="M73" s="8" t="n">
        <f aca="false">PI()*L73^2/40000</f>
        <v>0.00385154962282387</v>
      </c>
      <c r="N73" s="7" t="n">
        <f aca="false">F73*$Q$3</f>
        <v>8</v>
      </c>
      <c r="O73" s="3"/>
      <c r="P73" s="3"/>
      <c r="Q73" s="3"/>
    </row>
    <row r="74" customFormat="false" ht="15" hidden="false" customHeight="false" outlineLevel="0" collapsed="false">
      <c r="A74" s="2" t="s">
        <v>32</v>
      </c>
      <c r="B74" s="2" t="n">
        <v>1</v>
      </c>
      <c r="C74" s="2" t="n">
        <v>46</v>
      </c>
      <c r="D74" s="2" t="n">
        <v>1</v>
      </c>
      <c r="E74" s="2" t="n">
        <v>230</v>
      </c>
      <c r="F74" s="2" t="n">
        <v>60</v>
      </c>
      <c r="G74" s="2" t="s">
        <v>37</v>
      </c>
      <c r="H74" s="6" t="str">
        <f aca="false">A74&amp;"_"&amp;B74</f>
        <v>chauas_1</v>
      </c>
      <c r="I74" s="6" t="str">
        <f aca="false">H74&amp;"_"&amp;C74&amp;"_"&amp;G74</f>
        <v>chauas_1_46_Tabebuia cassinoides</v>
      </c>
      <c r="J74" s="6" t="n">
        <f aca="false">IF(COUNTIF($I$2:I74,I74)=1,1,0)</f>
        <v>1</v>
      </c>
      <c r="K74" s="6" t="n">
        <f aca="false">E74*$Q$2</f>
        <v>23</v>
      </c>
      <c r="L74" s="7" t="n">
        <f aca="false">K74/PI()</f>
        <v>7.32112738222719</v>
      </c>
      <c r="M74" s="8" t="n">
        <f aca="false">PI()*L74^2/40000</f>
        <v>0.00420964824478063</v>
      </c>
      <c r="N74" s="7" t="n">
        <f aca="false">F74*$Q$3</f>
        <v>6</v>
      </c>
      <c r="O74" s="3"/>
      <c r="P74" s="3"/>
      <c r="Q74" s="3"/>
    </row>
    <row r="75" customFormat="false" ht="15" hidden="false" customHeight="false" outlineLevel="0" collapsed="false">
      <c r="A75" s="2" t="s">
        <v>32</v>
      </c>
      <c r="B75" s="2" t="n">
        <v>1</v>
      </c>
      <c r="C75" s="2" t="n">
        <v>46</v>
      </c>
      <c r="D75" s="2" t="n">
        <v>2</v>
      </c>
      <c r="E75" s="2" t="n">
        <v>150</v>
      </c>
      <c r="F75" s="2" t="n">
        <v>60</v>
      </c>
      <c r="G75" s="2" t="s">
        <v>37</v>
      </c>
      <c r="H75" s="6" t="str">
        <f aca="false">A75&amp;"_"&amp;B75</f>
        <v>chauas_1</v>
      </c>
      <c r="I75" s="6" t="str">
        <f aca="false">H75&amp;"_"&amp;C75&amp;"_"&amp;G75</f>
        <v>chauas_1_46_Tabebuia cassinoides</v>
      </c>
      <c r="J75" s="6" t="n">
        <f aca="false">IF(COUNTIF($I$2:I75,I75)=1,1,0)</f>
        <v>0</v>
      </c>
      <c r="K75" s="6" t="n">
        <f aca="false">E75*$Q$2</f>
        <v>15</v>
      </c>
      <c r="L75" s="7" t="n">
        <f aca="false">K75/PI()</f>
        <v>4.77464829275686</v>
      </c>
      <c r="M75" s="8" t="n">
        <f aca="false">PI()*L75^2/40000</f>
        <v>0.00179049310978382</v>
      </c>
      <c r="N75" s="7" t="n">
        <f aca="false">F75*$Q$3</f>
        <v>6</v>
      </c>
      <c r="O75" s="3"/>
      <c r="P75" s="3"/>
      <c r="Q75" s="3"/>
    </row>
    <row r="76" customFormat="false" ht="15" hidden="false" customHeight="false" outlineLevel="0" collapsed="false">
      <c r="A76" s="2" t="s">
        <v>32</v>
      </c>
      <c r="B76" s="2" t="n">
        <v>1</v>
      </c>
      <c r="C76" s="2" t="n">
        <v>47</v>
      </c>
      <c r="D76" s="2" t="n">
        <v>1</v>
      </c>
      <c r="E76" s="2" t="n">
        <v>200</v>
      </c>
      <c r="F76" s="2" t="n">
        <v>60</v>
      </c>
      <c r="G76" s="2" t="s">
        <v>33</v>
      </c>
      <c r="H76" s="6" t="str">
        <f aca="false">A76&amp;"_"&amp;B76</f>
        <v>chauas_1</v>
      </c>
      <c r="I76" s="6" t="str">
        <f aca="false">H76&amp;"_"&amp;C76&amp;"_"&amp;G76</f>
        <v>chauas_1_47_Myrcia sulfiflora</v>
      </c>
      <c r="J76" s="6" t="n">
        <f aca="false">IF(COUNTIF($I$2:I76,I76)=1,1,0)</f>
        <v>1</v>
      </c>
      <c r="K76" s="6" t="n">
        <f aca="false">E76*$Q$2</f>
        <v>20</v>
      </c>
      <c r="L76" s="7" t="n">
        <f aca="false">K76/PI()</f>
        <v>6.36619772367581</v>
      </c>
      <c r="M76" s="8" t="n">
        <f aca="false">PI()*L76^2/40000</f>
        <v>0.00318309886183791</v>
      </c>
      <c r="N76" s="7" t="n">
        <f aca="false">F76*$Q$3</f>
        <v>6</v>
      </c>
      <c r="O76" s="3"/>
      <c r="P76" s="3"/>
      <c r="Q76" s="3"/>
    </row>
    <row r="77" customFormat="false" ht="15" hidden="false" customHeight="false" outlineLevel="0" collapsed="false">
      <c r="A77" s="2" t="s">
        <v>32</v>
      </c>
      <c r="B77" s="2" t="n">
        <v>1</v>
      </c>
      <c r="C77" s="2" t="n">
        <v>47</v>
      </c>
      <c r="D77" s="2" t="n">
        <v>2</v>
      </c>
      <c r="E77" s="2" t="n">
        <v>160</v>
      </c>
      <c r="F77" s="2" t="n">
        <v>60</v>
      </c>
      <c r="G77" s="2" t="s">
        <v>33</v>
      </c>
      <c r="H77" s="6" t="str">
        <f aca="false">A77&amp;"_"&amp;B77</f>
        <v>chauas_1</v>
      </c>
      <c r="I77" s="6" t="str">
        <f aca="false">H77&amp;"_"&amp;C77&amp;"_"&amp;G77</f>
        <v>chauas_1_47_Myrcia sulfiflora</v>
      </c>
      <c r="J77" s="6" t="n">
        <f aca="false">IF(COUNTIF($I$2:I77,I77)=1,1,0)</f>
        <v>0</v>
      </c>
      <c r="K77" s="6" t="n">
        <f aca="false">E77*$Q$2</f>
        <v>16</v>
      </c>
      <c r="L77" s="7" t="n">
        <f aca="false">K77/PI()</f>
        <v>5.09295817894065</v>
      </c>
      <c r="M77" s="8" t="n">
        <f aca="false">PI()*L77^2/40000</f>
        <v>0.00203718327157626</v>
      </c>
      <c r="N77" s="7" t="n">
        <f aca="false">F77*$Q$3</f>
        <v>6</v>
      </c>
      <c r="O77" s="3"/>
      <c r="P77" s="3"/>
      <c r="Q77" s="3"/>
    </row>
    <row r="78" customFormat="false" ht="15" hidden="false" customHeight="false" outlineLevel="0" collapsed="false">
      <c r="A78" s="2" t="s">
        <v>32</v>
      </c>
      <c r="B78" s="2" t="n">
        <v>1</v>
      </c>
      <c r="C78" s="2" t="n">
        <v>48</v>
      </c>
      <c r="D78" s="2" t="n">
        <v>1</v>
      </c>
      <c r="E78" s="2" t="n">
        <v>680</v>
      </c>
      <c r="F78" s="2" t="n">
        <v>160</v>
      </c>
      <c r="G78" s="2" t="s">
        <v>42</v>
      </c>
      <c r="H78" s="6" t="str">
        <f aca="false">A78&amp;"_"&amp;B78</f>
        <v>chauas_1</v>
      </c>
      <c r="I78" s="6" t="str">
        <f aca="false">H78&amp;"_"&amp;C78&amp;"_"&amp;G78</f>
        <v>chauas_1_48_myrtaceae1</v>
      </c>
      <c r="J78" s="6" t="n">
        <f aca="false">IF(COUNTIF($I$2:I78,I78)=1,1,0)</f>
        <v>1</v>
      </c>
      <c r="K78" s="6" t="n">
        <f aca="false">E78*$Q$2</f>
        <v>68</v>
      </c>
      <c r="L78" s="7" t="n">
        <f aca="false">K78/PI()</f>
        <v>21.6450722604978</v>
      </c>
      <c r="M78" s="8" t="n">
        <f aca="false">PI()*L78^2/40000</f>
        <v>0.0367966228428462</v>
      </c>
      <c r="N78" s="7" t="n">
        <f aca="false">F78*$Q$3</f>
        <v>16</v>
      </c>
      <c r="O78" s="3"/>
      <c r="P78" s="3"/>
      <c r="Q78" s="3"/>
    </row>
    <row r="79" customFormat="false" ht="15" hidden="false" customHeight="false" outlineLevel="0" collapsed="false">
      <c r="A79" s="2" t="s">
        <v>32</v>
      </c>
      <c r="B79" s="2" t="n">
        <v>2</v>
      </c>
      <c r="C79" s="2" t="n">
        <v>49</v>
      </c>
      <c r="D79" s="2" t="n">
        <v>1</v>
      </c>
      <c r="E79" s="2" t="n">
        <v>290</v>
      </c>
      <c r="F79" s="2" t="n">
        <v>110</v>
      </c>
      <c r="G79" s="2" t="s">
        <v>33</v>
      </c>
      <c r="H79" s="6" t="str">
        <f aca="false">A79&amp;"_"&amp;B79</f>
        <v>chauas_2</v>
      </c>
      <c r="I79" s="6" t="str">
        <f aca="false">H79&amp;"_"&amp;C79&amp;"_"&amp;G79</f>
        <v>chauas_2_49_Myrcia sulfiflora</v>
      </c>
      <c r="J79" s="6" t="n">
        <f aca="false">IF(COUNTIF($I$2:I79,I79)=1,1,0)</f>
        <v>1</v>
      </c>
      <c r="K79" s="6" t="n">
        <f aca="false">E79*$Q$2</f>
        <v>29</v>
      </c>
      <c r="L79" s="7" t="n">
        <f aca="false">K79/PI()</f>
        <v>9.23098669932993</v>
      </c>
      <c r="M79" s="8" t="n">
        <f aca="false">PI()*L79^2/40000</f>
        <v>0.0066924653570142</v>
      </c>
      <c r="N79" s="7" t="n">
        <f aca="false">F79*$Q$3</f>
        <v>11</v>
      </c>
      <c r="O79" s="3"/>
      <c r="P79" s="3"/>
      <c r="Q79" s="3"/>
    </row>
    <row r="80" customFormat="false" ht="15" hidden="false" customHeight="false" outlineLevel="0" collapsed="false">
      <c r="A80" s="2" t="s">
        <v>32</v>
      </c>
      <c r="B80" s="2" t="n">
        <v>2</v>
      </c>
      <c r="C80" s="2" t="n">
        <v>49</v>
      </c>
      <c r="D80" s="2" t="n">
        <v>2</v>
      </c>
      <c r="E80" s="2" t="n">
        <v>280</v>
      </c>
      <c r="F80" s="2" t="n">
        <v>110</v>
      </c>
      <c r="G80" s="2" t="s">
        <v>33</v>
      </c>
      <c r="H80" s="6" t="str">
        <f aca="false">A80&amp;"_"&amp;B80</f>
        <v>chauas_2</v>
      </c>
      <c r="I80" s="6" t="str">
        <f aca="false">H80&amp;"_"&amp;C80&amp;"_"&amp;G80</f>
        <v>chauas_2_49_Myrcia sulfiflora</v>
      </c>
      <c r="J80" s="6" t="n">
        <f aca="false">IF(COUNTIF($I$2:I80,I80)=1,1,0)</f>
        <v>0</v>
      </c>
      <c r="K80" s="6" t="n">
        <f aca="false">E80*$Q$2</f>
        <v>28</v>
      </c>
      <c r="L80" s="7" t="n">
        <f aca="false">K80/PI()</f>
        <v>8.91267681314614</v>
      </c>
      <c r="M80" s="8" t="n">
        <f aca="false">PI()*L80^2/40000</f>
        <v>0.0062388737692023</v>
      </c>
      <c r="N80" s="7" t="n">
        <f aca="false">F80*$Q$3</f>
        <v>11</v>
      </c>
      <c r="O80" s="3"/>
      <c r="P80" s="3"/>
      <c r="Q80" s="3"/>
    </row>
    <row r="81" customFormat="false" ht="15" hidden="false" customHeight="false" outlineLevel="0" collapsed="false">
      <c r="A81" s="2" t="s">
        <v>32</v>
      </c>
      <c r="B81" s="2" t="n">
        <v>2</v>
      </c>
      <c r="C81" s="2" t="n">
        <v>50</v>
      </c>
      <c r="D81" s="2" t="n">
        <v>1</v>
      </c>
      <c r="E81" s="2" t="n">
        <v>440</v>
      </c>
      <c r="F81" s="2" t="n">
        <v>170</v>
      </c>
      <c r="G81" s="2" t="s">
        <v>37</v>
      </c>
      <c r="H81" s="6" t="str">
        <f aca="false">A81&amp;"_"&amp;B81</f>
        <v>chauas_2</v>
      </c>
      <c r="I81" s="6" t="str">
        <f aca="false">H81&amp;"_"&amp;C81&amp;"_"&amp;G81</f>
        <v>chauas_2_50_Tabebuia cassinoides</v>
      </c>
      <c r="J81" s="6" t="n">
        <f aca="false">IF(COUNTIF($I$2:I81,I81)=1,1,0)</f>
        <v>1</v>
      </c>
      <c r="K81" s="6" t="n">
        <f aca="false">E81*$Q$2</f>
        <v>44</v>
      </c>
      <c r="L81" s="7" t="n">
        <f aca="false">K81/PI()</f>
        <v>14.0056349920868</v>
      </c>
      <c r="M81" s="8" t="n">
        <f aca="false">PI()*L81^2/40000</f>
        <v>0.0154061984912955</v>
      </c>
      <c r="N81" s="7" t="n">
        <f aca="false">F81*$Q$3</f>
        <v>17</v>
      </c>
      <c r="O81" s="3"/>
      <c r="P81" s="3"/>
      <c r="Q81" s="3"/>
    </row>
    <row r="82" customFormat="false" ht="15" hidden="false" customHeight="false" outlineLevel="0" collapsed="false">
      <c r="A82" s="2" t="s">
        <v>32</v>
      </c>
      <c r="B82" s="2" t="n">
        <v>2</v>
      </c>
      <c r="C82" s="2" t="n">
        <v>51</v>
      </c>
      <c r="D82" s="2" t="n">
        <v>1</v>
      </c>
      <c r="E82" s="2" t="n">
        <v>260</v>
      </c>
      <c r="F82" s="2" t="n">
        <v>120</v>
      </c>
      <c r="G82" s="2" t="s">
        <v>33</v>
      </c>
      <c r="H82" s="6" t="str">
        <f aca="false">A82&amp;"_"&amp;B82</f>
        <v>chauas_2</v>
      </c>
      <c r="I82" s="6" t="str">
        <f aca="false">H82&amp;"_"&amp;C82&amp;"_"&amp;G82</f>
        <v>chauas_2_51_Myrcia sulfiflora</v>
      </c>
      <c r="J82" s="6" t="n">
        <f aca="false">IF(COUNTIF($I$2:I82,I82)=1,1,0)</f>
        <v>1</v>
      </c>
      <c r="K82" s="6" t="n">
        <f aca="false">E82*$Q$2</f>
        <v>26</v>
      </c>
      <c r="L82" s="7" t="n">
        <f aca="false">K82/PI()</f>
        <v>8.27605704077856</v>
      </c>
      <c r="M82" s="8" t="n">
        <f aca="false">PI()*L82^2/40000</f>
        <v>0.00537943707650606</v>
      </c>
      <c r="N82" s="7" t="n">
        <f aca="false">F82*$Q$3</f>
        <v>12</v>
      </c>
      <c r="O82" s="3"/>
      <c r="P82" s="3"/>
      <c r="Q82" s="3"/>
    </row>
    <row r="83" customFormat="false" ht="15" hidden="false" customHeight="false" outlineLevel="0" collapsed="false">
      <c r="A83" s="2" t="s">
        <v>32</v>
      </c>
      <c r="B83" s="2" t="n">
        <v>2</v>
      </c>
      <c r="C83" s="2" t="n">
        <v>51</v>
      </c>
      <c r="D83" s="2" t="n">
        <v>2</v>
      </c>
      <c r="E83" s="2" t="n">
        <v>280</v>
      </c>
      <c r="F83" s="2" t="n">
        <v>120</v>
      </c>
      <c r="G83" s="2" t="s">
        <v>33</v>
      </c>
      <c r="H83" s="6" t="str">
        <f aca="false">A83&amp;"_"&amp;B83</f>
        <v>chauas_2</v>
      </c>
      <c r="I83" s="6" t="str">
        <f aca="false">H83&amp;"_"&amp;C83&amp;"_"&amp;G83</f>
        <v>chauas_2_51_Myrcia sulfiflora</v>
      </c>
      <c r="J83" s="6" t="n">
        <f aca="false">IF(COUNTIF($I$2:I83,I83)=1,1,0)</f>
        <v>0</v>
      </c>
      <c r="K83" s="6" t="n">
        <f aca="false">E83*$Q$2</f>
        <v>28</v>
      </c>
      <c r="L83" s="7" t="n">
        <f aca="false">K83/PI()</f>
        <v>8.91267681314614</v>
      </c>
      <c r="M83" s="8" t="n">
        <f aca="false">PI()*L83^2/40000</f>
        <v>0.0062388737692023</v>
      </c>
      <c r="N83" s="7" t="n">
        <f aca="false">F83*$Q$3</f>
        <v>12</v>
      </c>
      <c r="O83" s="3"/>
      <c r="P83" s="3"/>
      <c r="Q83" s="3"/>
    </row>
    <row r="84" customFormat="false" ht="15" hidden="false" customHeight="false" outlineLevel="0" collapsed="false">
      <c r="A84" s="2" t="s">
        <v>32</v>
      </c>
      <c r="B84" s="2" t="n">
        <v>2</v>
      </c>
      <c r="C84" s="2" t="n">
        <v>52</v>
      </c>
      <c r="D84" s="2" t="n">
        <v>1</v>
      </c>
      <c r="E84" s="2" t="n">
        <v>280</v>
      </c>
      <c r="F84" s="2" t="n">
        <v>100</v>
      </c>
      <c r="G84" s="2" t="s">
        <v>37</v>
      </c>
      <c r="H84" s="6" t="str">
        <f aca="false">A84&amp;"_"&amp;B84</f>
        <v>chauas_2</v>
      </c>
      <c r="I84" s="6" t="str">
        <f aca="false">H84&amp;"_"&amp;C84&amp;"_"&amp;G84</f>
        <v>chauas_2_52_Tabebuia cassinoides</v>
      </c>
      <c r="J84" s="6" t="n">
        <f aca="false">IF(COUNTIF($I$2:I84,I84)=1,1,0)</f>
        <v>1</v>
      </c>
      <c r="K84" s="6" t="n">
        <f aca="false">E84*$Q$2</f>
        <v>28</v>
      </c>
      <c r="L84" s="7" t="n">
        <f aca="false">K84/PI()</f>
        <v>8.91267681314614</v>
      </c>
      <c r="M84" s="8" t="n">
        <f aca="false">PI()*L84^2/40000</f>
        <v>0.0062388737692023</v>
      </c>
      <c r="N84" s="7" t="n">
        <f aca="false">F84*$Q$3</f>
        <v>10</v>
      </c>
      <c r="O84" s="3"/>
      <c r="P84" s="3"/>
      <c r="Q84" s="3"/>
    </row>
    <row r="85" customFormat="false" ht="15" hidden="false" customHeight="false" outlineLevel="0" collapsed="false">
      <c r="A85" s="2" t="s">
        <v>32</v>
      </c>
      <c r="B85" s="2" t="n">
        <v>2</v>
      </c>
      <c r="C85" s="2" t="n">
        <v>52</v>
      </c>
      <c r="D85" s="2" t="n">
        <v>2</v>
      </c>
      <c r="E85" s="2" t="n">
        <v>300</v>
      </c>
      <c r="F85" s="2" t="n">
        <v>100</v>
      </c>
      <c r="G85" s="2" t="s">
        <v>37</v>
      </c>
      <c r="H85" s="6" t="str">
        <f aca="false">A85&amp;"_"&amp;B85</f>
        <v>chauas_2</v>
      </c>
      <c r="I85" s="6" t="str">
        <f aca="false">H85&amp;"_"&amp;C85&amp;"_"&amp;G85</f>
        <v>chauas_2_52_Tabebuia cassinoides</v>
      </c>
      <c r="J85" s="6" t="n">
        <f aca="false">IF(COUNTIF($I$2:I85,I85)=1,1,0)</f>
        <v>0</v>
      </c>
      <c r="K85" s="6" t="n">
        <f aca="false">E85*$Q$2</f>
        <v>30</v>
      </c>
      <c r="L85" s="7" t="n">
        <f aca="false">K85/PI()</f>
        <v>9.54929658551372</v>
      </c>
      <c r="M85" s="8" t="n">
        <f aca="false">PI()*L85^2/40000</f>
        <v>0.00716197243913529</v>
      </c>
      <c r="N85" s="7" t="n">
        <f aca="false">F85*$Q$3</f>
        <v>10</v>
      </c>
      <c r="O85" s="3"/>
      <c r="P85" s="3"/>
      <c r="Q85" s="3"/>
    </row>
    <row r="86" customFormat="false" ht="15" hidden="false" customHeight="false" outlineLevel="0" collapsed="false">
      <c r="A86" s="2" t="s">
        <v>32</v>
      </c>
      <c r="B86" s="2" t="n">
        <v>2</v>
      </c>
      <c r="C86" s="2" t="n">
        <v>52</v>
      </c>
      <c r="D86" s="2" t="n">
        <v>3</v>
      </c>
      <c r="E86" s="2" t="n">
        <v>250</v>
      </c>
      <c r="F86" s="2" t="n">
        <v>100</v>
      </c>
      <c r="G86" s="2" t="s">
        <v>37</v>
      </c>
      <c r="H86" s="6" t="str">
        <f aca="false">A86&amp;"_"&amp;B86</f>
        <v>chauas_2</v>
      </c>
      <c r="I86" s="6" t="str">
        <f aca="false">H86&amp;"_"&amp;C86&amp;"_"&amp;G86</f>
        <v>chauas_2_52_Tabebuia cassinoides</v>
      </c>
      <c r="J86" s="6" t="n">
        <f aca="false">IF(COUNTIF($I$2:I86,I86)=1,1,0)</f>
        <v>0</v>
      </c>
      <c r="K86" s="6" t="n">
        <f aca="false">E86*$Q$2</f>
        <v>25</v>
      </c>
      <c r="L86" s="7" t="n">
        <f aca="false">K86/PI()</f>
        <v>7.95774715459477</v>
      </c>
      <c r="M86" s="8" t="n">
        <f aca="false">PI()*L86^2/40000</f>
        <v>0.00497359197162173</v>
      </c>
      <c r="N86" s="7" t="n">
        <f aca="false">F86*$Q$3</f>
        <v>10</v>
      </c>
      <c r="O86" s="3"/>
      <c r="P86" s="3"/>
      <c r="Q86" s="3"/>
    </row>
    <row r="87" customFormat="false" ht="15" hidden="false" customHeight="false" outlineLevel="0" collapsed="false">
      <c r="A87" s="2" t="s">
        <v>32</v>
      </c>
      <c r="B87" s="2" t="n">
        <v>2</v>
      </c>
      <c r="C87" s="2" t="n">
        <v>53</v>
      </c>
      <c r="D87" s="2" t="n">
        <v>1</v>
      </c>
      <c r="E87" s="2" t="n">
        <v>150</v>
      </c>
      <c r="F87" s="2" t="n">
        <v>30</v>
      </c>
      <c r="G87" s="2" t="s">
        <v>33</v>
      </c>
      <c r="H87" s="6" t="str">
        <f aca="false">A87&amp;"_"&amp;B87</f>
        <v>chauas_2</v>
      </c>
      <c r="I87" s="6" t="str">
        <f aca="false">H87&amp;"_"&amp;C87&amp;"_"&amp;G87</f>
        <v>chauas_2_53_Myrcia sulfiflora</v>
      </c>
      <c r="J87" s="6" t="n">
        <f aca="false">IF(COUNTIF($I$2:I87,I87)=1,1,0)</f>
        <v>1</v>
      </c>
      <c r="K87" s="6" t="n">
        <f aca="false">E87*$Q$2</f>
        <v>15</v>
      </c>
      <c r="L87" s="7" t="n">
        <f aca="false">K87/PI()</f>
        <v>4.77464829275686</v>
      </c>
      <c r="M87" s="8" t="n">
        <f aca="false">PI()*L87^2/40000</f>
        <v>0.00179049310978382</v>
      </c>
      <c r="N87" s="7" t="n">
        <f aca="false">F87*$Q$3</f>
        <v>3</v>
      </c>
      <c r="O87" s="3"/>
      <c r="P87" s="3"/>
      <c r="Q87" s="3"/>
    </row>
    <row r="88" customFormat="false" ht="15" hidden="false" customHeight="false" outlineLevel="0" collapsed="false">
      <c r="A88" s="2" t="s">
        <v>32</v>
      </c>
      <c r="B88" s="2" t="n">
        <v>2</v>
      </c>
      <c r="C88" s="2" t="n">
        <v>54</v>
      </c>
      <c r="D88" s="2" t="n">
        <v>1</v>
      </c>
      <c r="E88" s="2" t="n">
        <v>380</v>
      </c>
      <c r="F88" s="2" t="n">
        <v>40</v>
      </c>
      <c r="G88" s="2" t="s">
        <v>37</v>
      </c>
      <c r="H88" s="6" t="str">
        <f aca="false">A88&amp;"_"&amp;B88</f>
        <v>chauas_2</v>
      </c>
      <c r="I88" s="6" t="str">
        <f aca="false">H88&amp;"_"&amp;C88&amp;"_"&amp;G88</f>
        <v>chauas_2_54_Tabebuia cassinoides</v>
      </c>
      <c r="J88" s="6" t="n">
        <f aca="false">IF(COUNTIF($I$2:I88,I88)=1,1,0)</f>
        <v>1</v>
      </c>
      <c r="K88" s="6" t="n">
        <f aca="false">E88*$Q$2</f>
        <v>38</v>
      </c>
      <c r="L88" s="7" t="n">
        <f aca="false">K88/PI()</f>
        <v>12.095775674984</v>
      </c>
      <c r="M88" s="8" t="n">
        <f aca="false">PI()*L88^2/40000</f>
        <v>0.0114909868912348</v>
      </c>
      <c r="N88" s="7" t="n">
        <f aca="false">F88*$Q$3</f>
        <v>4</v>
      </c>
      <c r="O88" s="3"/>
      <c r="P88" s="3"/>
      <c r="Q88" s="3"/>
    </row>
    <row r="89" customFormat="false" ht="15" hidden="false" customHeight="false" outlineLevel="0" collapsed="false">
      <c r="A89" s="2" t="s">
        <v>32</v>
      </c>
      <c r="B89" s="2" t="n">
        <v>2</v>
      </c>
      <c r="C89" s="2" t="n">
        <v>54</v>
      </c>
      <c r="D89" s="2" t="n">
        <v>2</v>
      </c>
      <c r="E89" s="2" t="n">
        <v>440</v>
      </c>
      <c r="F89" s="2" t="n">
        <v>40</v>
      </c>
      <c r="G89" s="2" t="s">
        <v>37</v>
      </c>
      <c r="H89" s="6" t="str">
        <f aca="false">A89&amp;"_"&amp;B89</f>
        <v>chauas_2</v>
      </c>
      <c r="I89" s="6" t="str">
        <f aca="false">H89&amp;"_"&amp;C89&amp;"_"&amp;G89</f>
        <v>chauas_2_54_Tabebuia cassinoides</v>
      </c>
      <c r="J89" s="6" t="n">
        <f aca="false">IF(COUNTIF($I$2:I89,I89)=1,1,0)</f>
        <v>0</v>
      </c>
      <c r="K89" s="6" t="n">
        <f aca="false">E89*$Q$2</f>
        <v>44</v>
      </c>
      <c r="L89" s="7" t="n">
        <f aca="false">K89/PI()</f>
        <v>14.0056349920868</v>
      </c>
      <c r="M89" s="8" t="n">
        <f aca="false">PI()*L89^2/40000</f>
        <v>0.0154061984912955</v>
      </c>
      <c r="N89" s="7" t="n">
        <f aca="false">F89*$Q$3</f>
        <v>4</v>
      </c>
      <c r="O89" s="3"/>
      <c r="P89" s="3"/>
      <c r="Q89" s="3"/>
    </row>
    <row r="90" customFormat="false" ht="15" hidden="false" customHeight="false" outlineLevel="0" collapsed="false">
      <c r="A90" s="2" t="s">
        <v>32</v>
      </c>
      <c r="B90" s="2" t="n">
        <v>2</v>
      </c>
      <c r="C90" s="2" t="n">
        <v>54</v>
      </c>
      <c r="D90" s="2" t="n">
        <v>3</v>
      </c>
      <c r="E90" s="2" t="n">
        <v>350</v>
      </c>
      <c r="F90" s="2" t="n">
        <v>40</v>
      </c>
      <c r="G90" s="2" t="s">
        <v>37</v>
      </c>
      <c r="H90" s="6" t="str">
        <f aca="false">A90&amp;"_"&amp;B90</f>
        <v>chauas_2</v>
      </c>
      <c r="I90" s="6" t="str">
        <f aca="false">H90&amp;"_"&amp;C90&amp;"_"&amp;G90</f>
        <v>chauas_2_54_Tabebuia cassinoides</v>
      </c>
      <c r="J90" s="6" t="n">
        <f aca="false">IF(COUNTIF($I$2:I90,I90)=1,1,0)</f>
        <v>0</v>
      </c>
      <c r="K90" s="6" t="n">
        <f aca="false">E90*$Q$2</f>
        <v>35</v>
      </c>
      <c r="L90" s="7" t="n">
        <f aca="false">K90/PI()</f>
        <v>11.1408460164327</v>
      </c>
      <c r="M90" s="8" t="n">
        <f aca="false">PI()*L90^2/40000</f>
        <v>0.00974824026437859</v>
      </c>
      <c r="N90" s="7" t="n">
        <f aca="false">F90*$Q$3</f>
        <v>4</v>
      </c>
      <c r="O90" s="3"/>
      <c r="P90" s="3"/>
      <c r="Q90" s="3"/>
    </row>
    <row r="91" customFormat="false" ht="15" hidden="false" customHeight="false" outlineLevel="0" collapsed="false">
      <c r="A91" s="2" t="s">
        <v>32</v>
      </c>
      <c r="B91" s="2" t="n">
        <v>2</v>
      </c>
      <c r="C91" s="2" t="n">
        <v>54</v>
      </c>
      <c r="D91" s="2" t="n">
        <v>4</v>
      </c>
      <c r="E91" s="2" t="n">
        <v>340</v>
      </c>
      <c r="F91" s="2" t="n">
        <v>40</v>
      </c>
      <c r="G91" s="2" t="s">
        <v>37</v>
      </c>
      <c r="H91" s="6" t="str">
        <f aca="false">A91&amp;"_"&amp;B91</f>
        <v>chauas_2</v>
      </c>
      <c r="I91" s="6" t="str">
        <f aca="false">H91&amp;"_"&amp;C91&amp;"_"&amp;G91</f>
        <v>chauas_2_54_Tabebuia cassinoides</v>
      </c>
      <c r="J91" s="6" t="n">
        <f aca="false">IF(COUNTIF($I$2:I91,I91)=1,1,0)</f>
        <v>0</v>
      </c>
      <c r="K91" s="6" t="n">
        <f aca="false">E91*$Q$2</f>
        <v>34</v>
      </c>
      <c r="L91" s="7" t="n">
        <f aca="false">K91/PI()</f>
        <v>10.8225361302489</v>
      </c>
      <c r="M91" s="8" t="n">
        <f aca="false">PI()*L91^2/40000</f>
        <v>0.00919915571071155</v>
      </c>
      <c r="N91" s="7" t="n">
        <f aca="false">F91*$Q$3</f>
        <v>4</v>
      </c>
      <c r="O91" s="3"/>
      <c r="P91" s="3"/>
      <c r="Q91" s="3"/>
    </row>
    <row r="92" customFormat="false" ht="15" hidden="false" customHeight="false" outlineLevel="0" collapsed="false">
      <c r="A92" s="2" t="s">
        <v>32</v>
      </c>
      <c r="B92" s="2" t="n">
        <v>2</v>
      </c>
      <c r="C92" s="2" t="n">
        <v>54</v>
      </c>
      <c r="D92" s="2" t="n">
        <v>5</v>
      </c>
      <c r="E92" s="2" t="n">
        <v>390</v>
      </c>
      <c r="F92" s="2" t="n">
        <v>40</v>
      </c>
      <c r="G92" s="2" t="s">
        <v>37</v>
      </c>
      <c r="H92" s="6" t="str">
        <f aca="false">A92&amp;"_"&amp;B92</f>
        <v>chauas_2</v>
      </c>
      <c r="I92" s="6" t="str">
        <f aca="false">H92&amp;"_"&amp;C92&amp;"_"&amp;G92</f>
        <v>chauas_2_54_Tabebuia cassinoides</v>
      </c>
      <c r="J92" s="6" t="n">
        <f aca="false">IF(COUNTIF($I$2:I92,I92)=1,1,0)</f>
        <v>0</v>
      </c>
      <c r="K92" s="6" t="n">
        <f aca="false">E92*$Q$2</f>
        <v>39</v>
      </c>
      <c r="L92" s="7" t="n">
        <f aca="false">K92/PI()</f>
        <v>12.4140855611678</v>
      </c>
      <c r="M92" s="8" t="n">
        <f aca="false">PI()*L92^2/40000</f>
        <v>0.0121037334221386</v>
      </c>
      <c r="N92" s="7" t="n">
        <f aca="false">F92*$Q$3</f>
        <v>4</v>
      </c>
      <c r="O92" s="3"/>
      <c r="P92" s="3"/>
      <c r="Q92" s="3"/>
    </row>
    <row r="93" customFormat="false" ht="15" hidden="false" customHeight="false" outlineLevel="0" collapsed="false">
      <c r="A93" s="2" t="s">
        <v>32</v>
      </c>
      <c r="B93" s="2" t="n">
        <v>2</v>
      </c>
      <c r="C93" s="2" t="n">
        <v>55</v>
      </c>
      <c r="D93" s="2" t="n">
        <v>1</v>
      </c>
      <c r="E93" s="2" t="n">
        <v>210</v>
      </c>
      <c r="F93" s="2" t="n">
        <v>70</v>
      </c>
      <c r="G93" s="2" t="s">
        <v>37</v>
      </c>
      <c r="H93" s="6" t="str">
        <f aca="false">A93&amp;"_"&amp;B93</f>
        <v>chauas_2</v>
      </c>
      <c r="I93" s="6" t="str">
        <f aca="false">H93&amp;"_"&amp;C93&amp;"_"&amp;G93</f>
        <v>chauas_2_55_Tabebuia cassinoides</v>
      </c>
      <c r="J93" s="6" t="n">
        <f aca="false">IF(COUNTIF($I$2:I93,I93)=1,1,0)</f>
        <v>1</v>
      </c>
      <c r="K93" s="6" t="n">
        <f aca="false">E93*$Q$2</f>
        <v>21</v>
      </c>
      <c r="L93" s="7" t="n">
        <f aca="false">K93/PI()</f>
        <v>6.68450760985961</v>
      </c>
      <c r="M93" s="8" t="n">
        <f aca="false">PI()*L93^2/40000</f>
        <v>0.00350936649517629</v>
      </c>
      <c r="N93" s="7" t="n">
        <f aca="false">F93*$Q$3</f>
        <v>7</v>
      </c>
      <c r="O93" s="3"/>
      <c r="P93" s="3"/>
      <c r="Q93" s="3"/>
    </row>
    <row r="94" customFormat="false" ht="15" hidden="false" customHeight="false" outlineLevel="0" collapsed="false">
      <c r="A94" s="2" t="s">
        <v>32</v>
      </c>
      <c r="B94" s="2" t="n">
        <v>2</v>
      </c>
      <c r="C94" s="2" t="n">
        <v>56</v>
      </c>
      <c r="D94" s="2" t="n">
        <v>1</v>
      </c>
      <c r="E94" s="2" t="n">
        <v>160</v>
      </c>
      <c r="F94" s="2" t="n">
        <v>50</v>
      </c>
      <c r="G94" s="2" t="s">
        <v>37</v>
      </c>
      <c r="H94" s="6" t="str">
        <f aca="false">A94&amp;"_"&amp;B94</f>
        <v>chauas_2</v>
      </c>
      <c r="I94" s="6" t="str">
        <f aca="false">H94&amp;"_"&amp;C94&amp;"_"&amp;G94</f>
        <v>chauas_2_56_Tabebuia cassinoides</v>
      </c>
      <c r="J94" s="6" t="n">
        <f aca="false">IF(COUNTIF($I$2:I94,I94)=1,1,0)</f>
        <v>1</v>
      </c>
      <c r="K94" s="6" t="n">
        <f aca="false">E94*$Q$2</f>
        <v>16</v>
      </c>
      <c r="L94" s="7" t="n">
        <f aca="false">K94/PI()</f>
        <v>5.09295817894065</v>
      </c>
      <c r="M94" s="8" t="n">
        <f aca="false">PI()*L94^2/40000</f>
        <v>0.00203718327157626</v>
      </c>
      <c r="N94" s="7" t="n">
        <f aca="false">F94*$Q$3</f>
        <v>5</v>
      </c>
      <c r="O94" s="3"/>
      <c r="P94" s="3"/>
      <c r="Q94" s="3"/>
    </row>
    <row r="95" customFormat="false" ht="15" hidden="false" customHeight="false" outlineLevel="0" collapsed="false">
      <c r="A95" s="2" t="s">
        <v>32</v>
      </c>
      <c r="B95" s="2" t="n">
        <v>2</v>
      </c>
      <c r="C95" s="2" t="n">
        <v>57</v>
      </c>
      <c r="D95" s="2" t="n">
        <v>1</v>
      </c>
      <c r="E95" s="2" t="n">
        <v>210</v>
      </c>
      <c r="F95" s="2" t="n">
        <v>80</v>
      </c>
      <c r="G95" s="2" t="s">
        <v>33</v>
      </c>
      <c r="H95" s="6" t="str">
        <f aca="false">A95&amp;"_"&amp;B95</f>
        <v>chauas_2</v>
      </c>
      <c r="I95" s="6" t="str">
        <f aca="false">H95&amp;"_"&amp;C95&amp;"_"&amp;G95</f>
        <v>chauas_2_57_Myrcia sulfiflora</v>
      </c>
      <c r="J95" s="6" t="n">
        <f aca="false">IF(COUNTIF($I$2:I95,I95)=1,1,0)</f>
        <v>1</v>
      </c>
      <c r="K95" s="6" t="n">
        <f aca="false">E95*$Q$2</f>
        <v>21</v>
      </c>
      <c r="L95" s="7" t="n">
        <f aca="false">K95/PI()</f>
        <v>6.68450760985961</v>
      </c>
      <c r="M95" s="8" t="n">
        <f aca="false">PI()*L95^2/40000</f>
        <v>0.00350936649517629</v>
      </c>
      <c r="N95" s="7" t="n">
        <f aca="false">F95*$Q$3</f>
        <v>8</v>
      </c>
      <c r="O95" s="3"/>
      <c r="P95" s="3"/>
      <c r="Q95" s="3"/>
    </row>
    <row r="96" customFormat="false" ht="15" hidden="false" customHeight="false" outlineLevel="0" collapsed="false">
      <c r="A96" s="2" t="s">
        <v>32</v>
      </c>
      <c r="B96" s="2" t="n">
        <v>2</v>
      </c>
      <c r="C96" s="2" t="n">
        <v>58</v>
      </c>
      <c r="D96" s="2" t="n">
        <v>1</v>
      </c>
      <c r="E96" s="2" t="n">
        <v>280</v>
      </c>
      <c r="F96" s="2" t="n">
        <v>80</v>
      </c>
      <c r="G96" s="2" t="s">
        <v>37</v>
      </c>
      <c r="H96" s="6" t="str">
        <f aca="false">A96&amp;"_"&amp;B96</f>
        <v>chauas_2</v>
      </c>
      <c r="I96" s="6" t="str">
        <f aca="false">H96&amp;"_"&amp;C96&amp;"_"&amp;G96</f>
        <v>chauas_2_58_Tabebuia cassinoides</v>
      </c>
      <c r="J96" s="6" t="n">
        <f aca="false">IF(COUNTIF($I$2:I96,I96)=1,1,0)</f>
        <v>1</v>
      </c>
      <c r="K96" s="6" t="n">
        <f aca="false">E96*$Q$2</f>
        <v>28</v>
      </c>
      <c r="L96" s="7" t="n">
        <f aca="false">K96/PI()</f>
        <v>8.91267681314614</v>
      </c>
      <c r="M96" s="8" t="n">
        <f aca="false">PI()*L96^2/40000</f>
        <v>0.0062388737692023</v>
      </c>
      <c r="N96" s="7" t="n">
        <f aca="false">F96*$Q$3</f>
        <v>8</v>
      </c>
      <c r="O96" s="3"/>
      <c r="P96" s="3"/>
      <c r="Q96" s="3"/>
    </row>
    <row r="97" customFormat="false" ht="15" hidden="false" customHeight="false" outlineLevel="0" collapsed="false">
      <c r="A97" s="2" t="s">
        <v>32</v>
      </c>
      <c r="B97" s="2" t="n">
        <v>2</v>
      </c>
      <c r="C97" s="2" t="n">
        <v>59</v>
      </c>
      <c r="D97" s="2" t="n">
        <v>1</v>
      </c>
      <c r="E97" s="2" t="n">
        <v>260</v>
      </c>
      <c r="F97" s="2" t="n">
        <v>70</v>
      </c>
      <c r="G97" s="2" t="s">
        <v>37</v>
      </c>
      <c r="H97" s="6" t="str">
        <f aca="false">A97&amp;"_"&amp;B97</f>
        <v>chauas_2</v>
      </c>
      <c r="I97" s="6" t="str">
        <f aca="false">H97&amp;"_"&amp;C97&amp;"_"&amp;G97</f>
        <v>chauas_2_59_Tabebuia cassinoides</v>
      </c>
      <c r="J97" s="6" t="n">
        <f aca="false">IF(COUNTIF($I$2:I97,I97)=1,1,0)</f>
        <v>1</v>
      </c>
      <c r="K97" s="6" t="n">
        <f aca="false">E97*$Q$2</f>
        <v>26</v>
      </c>
      <c r="L97" s="7" t="n">
        <f aca="false">K97/PI()</f>
        <v>8.27605704077856</v>
      </c>
      <c r="M97" s="8" t="n">
        <f aca="false">PI()*L97^2/40000</f>
        <v>0.00537943707650606</v>
      </c>
      <c r="N97" s="7" t="n">
        <f aca="false">F97*$Q$3</f>
        <v>7</v>
      </c>
      <c r="O97" s="3"/>
      <c r="P97" s="3"/>
      <c r="Q97" s="3"/>
    </row>
    <row r="98" customFormat="false" ht="15" hidden="false" customHeight="false" outlineLevel="0" collapsed="false">
      <c r="A98" s="2" t="s">
        <v>32</v>
      </c>
      <c r="B98" s="2" t="n">
        <v>2</v>
      </c>
      <c r="C98" s="2" t="n">
        <v>59</v>
      </c>
      <c r="D98" s="2" t="n">
        <v>2</v>
      </c>
      <c r="E98" s="2" t="n">
        <v>180</v>
      </c>
      <c r="F98" s="2" t="n">
        <v>70</v>
      </c>
      <c r="G98" s="2" t="s">
        <v>37</v>
      </c>
      <c r="H98" s="6" t="str">
        <f aca="false">A98&amp;"_"&amp;B98</f>
        <v>chauas_2</v>
      </c>
      <c r="I98" s="6" t="str">
        <f aca="false">H98&amp;"_"&amp;C98&amp;"_"&amp;G98</f>
        <v>chauas_2_59_Tabebuia cassinoides</v>
      </c>
      <c r="J98" s="6" t="n">
        <f aca="false">IF(COUNTIF($I$2:I98,I98)=1,1,0)</f>
        <v>0</v>
      </c>
      <c r="K98" s="6" t="n">
        <f aca="false">E98*$Q$2</f>
        <v>18</v>
      </c>
      <c r="L98" s="7" t="n">
        <f aca="false">K98/PI()</f>
        <v>5.72957795130823</v>
      </c>
      <c r="M98" s="8" t="n">
        <f aca="false">PI()*L98^2/40000</f>
        <v>0.0025783100780887</v>
      </c>
      <c r="N98" s="7" t="n">
        <f aca="false">F98*$Q$3</f>
        <v>7</v>
      </c>
      <c r="O98" s="3"/>
      <c r="P98" s="3"/>
      <c r="Q98" s="3"/>
    </row>
    <row r="99" customFormat="false" ht="15" hidden="false" customHeight="false" outlineLevel="0" collapsed="false">
      <c r="A99" s="2" t="s">
        <v>32</v>
      </c>
      <c r="B99" s="2" t="n">
        <v>2</v>
      </c>
      <c r="C99" s="2" t="n">
        <v>59</v>
      </c>
      <c r="D99" s="2" t="n">
        <v>3</v>
      </c>
      <c r="E99" s="2" t="n">
        <v>220</v>
      </c>
      <c r="F99" s="2" t="n">
        <v>70</v>
      </c>
      <c r="G99" s="2" t="s">
        <v>37</v>
      </c>
      <c r="H99" s="6" t="str">
        <f aca="false">A99&amp;"_"&amp;B99</f>
        <v>chauas_2</v>
      </c>
      <c r="I99" s="6" t="str">
        <f aca="false">H99&amp;"_"&amp;C99&amp;"_"&amp;G99</f>
        <v>chauas_2_59_Tabebuia cassinoides</v>
      </c>
      <c r="J99" s="6" t="n">
        <f aca="false">IF(COUNTIF($I$2:I99,I99)=1,1,0)</f>
        <v>0</v>
      </c>
      <c r="K99" s="6" t="n">
        <f aca="false">E99*$Q$2</f>
        <v>22</v>
      </c>
      <c r="L99" s="7" t="n">
        <f aca="false">K99/PI()</f>
        <v>7.0028174960434</v>
      </c>
      <c r="M99" s="8" t="n">
        <f aca="false">PI()*L99^2/40000</f>
        <v>0.00385154962282387</v>
      </c>
      <c r="N99" s="7" t="n">
        <f aca="false">F99*$Q$3</f>
        <v>7</v>
      </c>
      <c r="O99" s="3"/>
      <c r="P99" s="3"/>
      <c r="Q99" s="3"/>
    </row>
    <row r="100" customFormat="false" ht="15" hidden="false" customHeight="false" outlineLevel="0" collapsed="false">
      <c r="A100" s="2" t="s">
        <v>32</v>
      </c>
      <c r="B100" s="2" t="n">
        <v>2</v>
      </c>
      <c r="C100" s="2" t="n">
        <v>60</v>
      </c>
      <c r="D100" s="2" t="n">
        <v>1</v>
      </c>
      <c r="E100" s="2" t="n">
        <v>300</v>
      </c>
      <c r="F100" s="2" t="n">
        <v>80</v>
      </c>
      <c r="G100" s="2" t="s">
        <v>37</v>
      </c>
      <c r="H100" s="6" t="str">
        <f aca="false">A100&amp;"_"&amp;B100</f>
        <v>chauas_2</v>
      </c>
      <c r="I100" s="6" t="str">
        <f aca="false">H100&amp;"_"&amp;C100&amp;"_"&amp;G100</f>
        <v>chauas_2_60_Tabebuia cassinoides</v>
      </c>
      <c r="J100" s="6" t="n">
        <f aca="false">IF(COUNTIF($I$2:I100,I100)=1,1,0)</f>
        <v>1</v>
      </c>
      <c r="K100" s="6" t="n">
        <f aca="false">E100*$Q$2</f>
        <v>30</v>
      </c>
      <c r="L100" s="7" t="n">
        <f aca="false">K100/PI()</f>
        <v>9.54929658551372</v>
      </c>
      <c r="M100" s="8" t="n">
        <f aca="false">PI()*L100^2/40000</f>
        <v>0.00716197243913529</v>
      </c>
      <c r="N100" s="7" t="n">
        <f aca="false">F100*$Q$3</f>
        <v>8</v>
      </c>
      <c r="O100" s="3"/>
      <c r="P100" s="3"/>
      <c r="Q100" s="3"/>
    </row>
    <row r="101" customFormat="false" ht="15" hidden="false" customHeight="false" outlineLevel="0" collapsed="false">
      <c r="A101" s="2" t="s">
        <v>32</v>
      </c>
      <c r="B101" s="2" t="n">
        <v>2</v>
      </c>
      <c r="C101" s="2" t="n">
        <v>61</v>
      </c>
      <c r="D101" s="2" t="n">
        <v>1</v>
      </c>
      <c r="E101" s="2" t="n">
        <v>210</v>
      </c>
      <c r="F101" s="2" t="n">
        <v>70</v>
      </c>
      <c r="G101" s="2" t="s">
        <v>37</v>
      </c>
      <c r="H101" s="6" t="str">
        <f aca="false">A101&amp;"_"&amp;B101</f>
        <v>chauas_2</v>
      </c>
      <c r="I101" s="6" t="str">
        <f aca="false">H101&amp;"_"&amp;C101&amp;"_"&amp;G101</f>
        <v>chauas_2_61_Tabebuia cassinoides</v>
      </c>
      <c r="J101" s="6" t="n">
        <f aca="false">IF(COUNTIF($I$2:I101,I101)=1,1,0)</f>
        <v>1</v>
      </c>
      <c r="K101" s="6" t="n">
        <f aca="false">E101*$Q$2</f>
        <v>21</v>
      </c>
      <c r="L101" s="7" t="n">
        <f aca="false">K101/PI()</f>
        <v>6.68450760985961</v>
      </c>
      <c r="M101" s="8" t="n">
        <f aca="false">PI()*L101^2/40000</f>
        <v>0.00350936649517629</v>
      </c>
      <c r="N101" s="7" t="n">
        <f aca="false">F101*$Q$3</f>
        <v>7</v>
      </c>
      <c r="O101" s="3"/>
      <c r="P101" s="3"/>
      <c r="Q101" s="3"/>
    </row>
    <row r="102" customFormat="false" ht="15" hidden="false" customHeight="false" outlineLevel="0" collapsed="false">
      <c r="A102" s="2" t="s">
        <v>32</v>
      </c>
      <c r="B102" s="2" t="n">
        <v>2</v>
      </c>
      <c r="C102" s="2" t="n">
        <v>61</v>
      </c>
      <c r="D102" s="2" t="n">
        <v>2</v>
      </c>
      <c r="E102" s="2" t="n">
        <v>160</v>
      </c>
      <c r="F102" s="2" t="n">
        <v>70</v>
      </c>
      <c r="G102" s="2" t="s">
        <v>37</v>
      </c>
      <c r="H102" s="6" t="str">
        <f aca="false">A102&amp;"_"&amp;B102</f>
        <v>chauas_2</v>
      </c>
      <c r="I102" s="6" t="str">
        <f aca="false">H102&amp;"_"&amp;C102&amp;"_"&amp;G102</f>
        <v>chauas_2_61_Tabebuia cassinoides</v>
      </c>
      <c r="J102" s="6" t="n">
        <f aca="false">IF(COUNTIF($I$2:I102,I102)=1,1,0)</f>
        <v>0</v>
      </c>
      <c r="K102" s="6" t="n">
        <f aca="false">E102*$Q$2</f>
        <v>16</v>
      </c>
      <c r="L102" s="7" t="n">
        <f aca="false">K102/PI()</f>
        <v>5.09295817894065</v>
      </c>
      <c r="M102" s="8" t="n">
        <f aca="false">PI()*L102^2/40000</f>
        <v>0.00203718327157626</v>
      </c>
      <c r="N102" s="7" t="n">
        <f aca="false">F102*$Q$3</f>
        <v>7</v>
      </c>
      <c r="O102" s="3"/>
      <c r="P102" s="3"/>
      <c r="Q102" s="3"/>
    </row>
    <row r="103" customFormat="false" ht="15" hidden="false" customHeight="false" outlineLevel="0" collapsed="false">
      <c r="A103" s="2" t="s">
        <v>32</v>
      </c>
      <c r="B103" s="2" t="n">
        <v>2</v>
      </c>
      <c r="C103" s="2" t="n">
        <v>62</v>
      </c>
      <c r="D103" s="2" t="n">
        <v>1</v>
      </c>
      <c r="E103" s="2" t="n">
        <v>300</v>
      </c>
      <c r="F103" s="2" t="n">
        <v>80</v>
      </c>
      <c r="G103" s="2" t="s">
        <v>37</v>
      </c>
      <c r="H103" s="6" t="str">
        <f aca="false">A103&amp;"_"&amp;B103</f>
        <v>chauas_2</v>
      </c>
      <c r="I103" s="6" t="str">
        <f aca="false">H103&amp;"_"&amp;C103&amp;"_"&amp;G103</f>
        <v>chauas_2_62_Tabebuia cassinoides</v>
      </c>
      <c r="J103" s="6" t="n">
        <f aca="false">IF(COUNTIF($I$2:I103,I103)=1,1,0)</f>
        <v>1</v>
      </c>
      <c r="K103" s="6" t="n">
        <f aca="false">E103*$Q$2</f>
        <v>30</v>
      </c>
      <c r="L103" s="7" t="n">
        <f aca="false">K103/PI()</f>
        <v>9.54929658551372</v>
      </c>
      <c r="M103" s="8" t="n">
        <f aca="false">PI()*L103^2/40000</f>
        <v>0.00716197243913529</v>
      </c>
      <c r="N103" s="7" t="n">
        <f aca="false">F103*$Q$3</f>
        <v>8</v>
      </c>
      <c r="O103" s="3"/>
      <c r="P103" s="3"/>
      <c r="Q103" s="3"/>
    </row>
    <row r="104" customFormat="false" ht="15" hidden="false" customHeight="false" outlineLevel="0" collapsed="false">
      <c r="A104" s="2" t="s">
        <v>32</v>
      </c>
      <c r="B104" s="2" t="n">
        <v>2</v>
      </c>
      <c r="C104" s="2" t="n">
        <v>62</v>
      </c>
      <c r="D104" s="2" t="n">
        <v>2</v>
      </c>
      <c r="E104" s="2" t="n">
        <v>270</v>
      </c>
      <c r="F104" s="2" t="n">
        <v>80</v>
      </c>
      <c r="G104" s="2" t="s">
        <v>37</v>
      </c>
      <c r="H104" s="6" t="str">
        <f aca="false">A104&amp;"_"&amp;B104</f>
        <v>chauas_2</v>
      </c>
      <c r="I104" s="6" t="str">
        <f aca="false">H104&amp;"_"&amp;C104&amp;"_"&amp;G104</f>
        <v>chauas_2_62_Tabebuia cassinoides</v>
      </c>
      <c r="J104" s="6" t="n">
        <f aca="false">IF(COUNTIF($I$2:I104,I104)=1,1,0)</f>
        <v>0</v>
      </c>
      <c r="K104" s="6" t="n">
        <f aca="false">E104*$Q$2</f>
        <v>27</v>
      </c>
      <c r="L104" s="7" t="n">
        <f aca="false">K104/PI()</f>
        <v>8.59436692696235</v>
      </c>
      <c r="M104" s="8" t="n">
        <f aca="false">PI()*L104^2/40000</f>
        <v>0.00580119767569958</v>
      </c>
      <c r="N104" s="7" t="n">
        <f aca="false">F104*$Q$3</f>
        <v>8</v>
      </c>
      <c r="O104" s="3"/>
      <c r="P104" s="3"/>
      <c r="Q104" s="3"/>
    </row>
    <row r="105" customFormat="false" ht="15" hidden="false" customHeight="false" outlineLevel="0" collapsed="false">
      <c r="A105" s="2" t="s">
        <v>32</v>
      </c>
      <c r="B105" s="2" t="n">
        <v>2</v>
      </c>
      <c r="C105" s="2" t="n">
        <v>62</v>
      </c>
      <c r="D105" s="2" t="n">
        <v>3</v>
      </c>
      <c r="E105" s="2" t="n">
        <v>170</v>
      </c>
      <c r="F105" s="2" t="n">
        <v>80</v>
      </c>
      <c r="G105" s="2" t="s">
        <v>37</v>
      </c>
      <c r="H105" s="6" t="str">
        <f aca="false">A105&amp;"_"&amp;B105</f>
        <v>chauas_2</v>
      </c>
      <c r="I105" s="6" t="str">
        <f aca="false">H105&amp;"_"&amp;C105&amp;"_"&amp;G105</f>
        <v>chauas_2_62_Tabebuia cassinoides</v>
      </c>
      <c r="J105" s="6" t="n">
        <f aca="false">IF(COUNTIF($I$2:I105,I105)=1,1,0)</f>
        <v>0</v>
      </c>
      <c r="K105" s="6" t="n">
        <f aca="false">E105*$Q$2</f>
        <v>17</v>
      </c>
      <c r="L105" s="7" t="n">
        <f aca="false">K105/PI()</f>
        <v>5.41126806512444</v>
      </c>
      <c r="M105" s="8" t="n">
        <f aca="false">PI()*L105^2/40000</f>
        <v>0.00229978892767789</v>
      </c>
      <c r="N105" s="7" t="n">
        <f aca="false">F105*$Q$3</f>
        <v>8</v>
      </c>
      <c r="O105" s="3"/>
      <c r="P105" s="3"/>
      <c r="Q105" s="3"/>
    </row>
    <row r="106" customFormat="false" ht="15" hidden="false" customHeight="false" outlineLevel="0" collapsed="false">
      <c r="A106" s="2" t="s">
        <v>32</v>
      </c>
      <c r="B106" s="2" t="n">
        <v>2</v>
      </c>
      <c r="C106" s="2" t="n">
        <v>63</v>
      </c>
      <c r="D106" s="2" t="n">
        <v>1</v>
      </c>
      <c r="E106" s="2" t="n">
        <v>200</v>
      </c>
      <c r="F106" s="2" t="n">
        <v>70</v>
      </c>
      <c r="G106" s="2" t="s">
        <v>37</v>
      </c>
      <c r="H106" s="6" t="str">
        <f aca="false">A106&amp;"_"&amp;B106</f>
        <v>chauas_2</v>
      </c>
      <c r="I106" s="6" t="str">
        <f aca="false">H106&amp;"_"&amp;C106&amp;"_"&amp;G106</f>
        <v>chauas_2_63_Tabebuia cassinoides</v>
      </c>
      <c r="J106" s="6" t="n">
        <f aca="false">IF(COUNTIF($I$2:I106,I106)=1,1,0)</f>
        <v>1</v>
      </c>
      <c r="K106" s="6" t="n">
        <f aca="false">E106*$Q$2</f>
        <v>20</v>
      </c>
      <c r="L106" s="7" t="n">
        <f aca="false">K106/PI()</f>
        <v>6.36619772367581</v>
      </c>
      <c r="M106" s="8" t="n">
        <f aca="false">PI()*L106^2/40000</f>
        <v>0.00318309886183791</v>
      </c>
      <c r="N106" s="7" t="n">
        <f aca="false">F106*$Q$3</f>
        <v>7</v>
      </c>
      <c r="O106" s="3"/>
      <c r="P106" s="3"/>
      <c r="Q106" s="3"/>
    </row>
    <row r="107" customFormat="false" ht="15" hidden="false" customHeight="false" outlineLevel="0" collapsed="false">
      <c r="A107" s="2" t="s">
        <v>32</v>
      </c>
      <c r="B107" s="2" t="n">
        <v>2</v>
      </c>
      <c r="C107" s="2" t="n">
        <v>63</v>
      </c>
      <c r="D107" s="2" t="n">
        <v>2</v>
      </c>
      <c r="E107" s="2" t="n">
        <v>230</v>
      </c>
      <c r="F107" s="2" t="n">
        <v>70</v>
      </c>
      <c r="G107" s="2" t="s">
        <v>37</v>
      </c>
      <c r="H107" s="6" t="str">
        <f aca="false">A107&amp;"_"&amp;B107</f>
        <v>chauas_2</v>
      </c>
      <c r="I107" s="6" t="str">
        <f aca="false">H107&amp;"_"&amp;C107&amp;"_"&amp;G107</f>
        <v>chauas_2_63_Tabebuia cassinoides</v>
      </c>
      <c r="J107" s="6" t="n">
        <f aca="false">IF(COUNTIF($I$2:I107,I107)=1,1,0)</f>
        <v>0</v>
      </c>
      <c r="K107" s="6" t="n">
        <f aca="false">E107*$Q$2</f>
        <v>23</v>
      </c>
      <c r="L107" s="7" t="n">
        <f aca="false">K107/PI()</f>
        <v>7.32112738222719</v>
      </c>
      <c r="M107" s="8" t="n">
        <f aca="false">PI()*L107^2/40000</f>
        <v>0.00420964824478063</v>
      </c>
      <c r="N107" s="7" t="n">
        <f aca="false">F107*$Q$3</f>
        <v>7</v>
      </c>
      <c r="O107" s="3"/>
      <c r="P107" s="3"/>
      <c r="Q107" s="3"/>
    </row>
    <row r="108" customFormat="false" ht="15" hidden="false" customHeight="false" outlineLevel="0" collapsed="false">
      <c r="A108" s="2" t="s">
        <v>32</v>
      </c>
      <c r="B108" s="2" t="n">
        <v>2</v>
      </c>
      <c r="C108" s="2" t="n">
        <v>64</v>
      </c>
      <c r="D108" s="2" t="n">
        <v>1</v>
      </c>
      <c r="E108" s="2" t="n">
        <v>150</v>
      </c>
      <c r="F108" s="2" t="n">
        <v>50</v>
      </c>
      <c r="G108" s="2" t="s">
        <v>46</v>
      </c>
      <c r="H108" s="6" t="str">
        <f aca="false">A108&amp;"_"&amp;B108</f>
        <v>chauas_2</v>
      </c>
      <c r="I108" s="6" t="str">
        <f aca="false">H108&amp;"_"&amp;C108&amp;"_"&amp;G108</f>
        <v>chauas_2_64_Tibouchina nutticeps</v>
      </c>
      <c r="J108" s="6" t="n">
        <f aca="false">IF(COUNTIF($I$2:I108,I108)=1,1,0)</f>
        <v>1</v>
      </c>
      <c r="K108" s="6" t="n">
        <f aca="false">E108*$Q$2</f>
        <v>15</v>
      </c>
      <c r="L108" s="7" t="n">
        <f aca="false">K108/PI()</f>
        <v>4.77464829275686</v>
      </c>
      <c r="M108" s="8" t="n">
        <f aca="false">PI()*L108^2/40000</f>
        <v>0.00179049310978382</v>
      </c>
      <c r="N108" s="7" t="n">
        <f aca="false">F108*$Q$3</f>
        <v>5</v>
      </c>
      <c r="O108" s="3"/>
      <c r="P108" s="3"/>
      <c r="Q108" s="3"/>
    </row>
    <row r="109" customFormat="false" ht="15" hidden="false" customHeight="false" outlineLevel="0" collapsed="false">
      <c r="A109" s="2" t="s">
        <v>32</v>
      </c>
      <c r="B109" s="2" t="n">
        <v>2</v>
      </c>
      <c r="C109" s="2" t="n">
        <v>65</v>
      </c>
      <c r="D109" s="2" t="n">
        <v>1</v>
      </c>
      <c r="E109" s="2" t="n">
        <v>220</v>
      </c>
      <c r="F109" s="2" t="n">
        <v>40</v>
      </c>
      <c r="G109" s="2" t="s">
        <v>37</v>
      </c>
      <c r="H109" s="6" t="str">
        <f aca="false">A109&amp;"_"&amp;B109</f>
        <v>chauas_2</v>
      </c>
      <c r="I109" s="6" t="str">
        <f aca="false">H109&amp;"_"&amp;C109&amp;"_"&amp;G109</f>
        <v>chauas_2_65_Tabebuia cassinoides</v>
      </c>
      <c r="J109" s="6" t="n">
        <f aca="false">IF(COUNTIF($I$2:I109,I109)=1,1,0)</f>
        <v>1</v>
      </c>
      <c r="K109" s="6" t="n">
        <f aca="false">E109*$Q$2</f>
        <v>22</v>
      </c>
      <c r="L109" s="7" t="n">
        <f aca="false">K109/PI()</f>
        <v>7.0028174960434</v>
      </c>
      <c r="M109" s="8" t="n">
        <f aca="false">PI()*L109^2/40000</f>
        <v>0.00385154962282387</v>
      </c>
      <c r="N109" s="7" t="n">
        <f aca="false">F109*$Q$3</f>
        <v>4</v>
      </c>
      <c r="O109" s="3"/>
      <c r="P109" s="3"/>
      <c r="Q109" s="3"/>
    </row>
    <row r="110" customFormat="false" ht="15" hidden="false" customHeight="false" outlineLevel="0" collapsed="false">
      <c r="A110" s="2" t="s">
        <v>32</v>
      </c>
      <c r="B110" s="2" t="n">
        <v>2</v>
      </c>
      <c r="C110" s="2" t="n">
        <v>65</v>
      </c>
      <c r="D110" s="2" t="n">
        <v>2</v>
      </c>
      <c r="E110" s="2" t="n">
        <v>190</v>
      </c>
      <c r="F110" s="2" t="n">
        <v>40</v>
      </c>
      <c r="G110" s="2" t="s">
        <v>37</v>
      </c>
      <c r="H110" s="6" t="str">
        <f aca="false">A110&amp;"_"&amp;B110</f>
        <v>chauas_2</v>
      </c>
      <c r="I110" s="6" t="str">
        <f aca="false">H110&amp;"_"&amp;C110&amp;"_"&amp;G110</f>
        <v>chauas_2_65_Tabebuia cassinoides</v>
      </c>
      <c r="J110" s="6" t="n">
        <f aca="false">IF(COUNTIF($I$2:I110,I110)=1,1,0)</f>
        <v>0</v>
      </c>
      <c r="K110" s="6" t="n">
        <f aca="false">E110*$Q$2</f>
        <v>19</v>
      </c>
      <c r="L110" s="7" t="n">
        <f aca="false">K110/PI()</f>
        <v>6.04788783749202</v>
      </c>
      <c r="M110" s="8" t="n">
        <f aca="false">PI()*L110^2/40000</f>
        <v>0.00287274672280871</v>
      </c>
      <c r="N110" s="7" t="n">
        <f aca="false">F110*$Q$3</f>
        <v>4</v>
      </c>
      <c r="O110" s="3"/>
      <c r="P110" s="3"/>
      <c r="Q110" s="3"/>
    </row>
    <row r="111" customFormat="false" ht="15" hidden="false" customHeight="false" outlineLevel="0" collapsed="false">
      <c r="A111" s="2" t="s">
        <v>32</v>
      </c>
      <c r="B111" s="2" t="n">
        <v>2</v>
      </c>
      <c r="C111" s="2" t="n">
        <v>66</v>
      </c>
      <c r="D111" s="2" t="n">
        <v>1</v>
      </c>
      <c r="E111" s="2" t="n">
        <v>180</v>
      </c>
      <c r="F111" s="2" t="n">
        <v>30</v>
      </c>
      <c r="G111" s="2" t="s">
        <v>33</v>
      </c>
      <c r="H111" s="6" t="str">
        <f aca="false">A111&amp;"_"&amp;B111</f>
        <v>chauas_2</v>
      </c>
      <c r="I111" s="6" t="str">
        <f aca="false">H111&amp;"_"&amp;C111&amp;"_"&amp;G111</f>
        <v>chauas_2_66_Myrcia sulfiflora</v>
      </c>
      <c r="J111" s="6" t="n">
        <f aca="false">IF(COUNTIF($I$2:I111,I111)=1,1,0)</f>
        <v>1</v>
      </c>
      <c r="K111" s="6" t="n">
        <f aca="false">E111*$Q$2</f>
        <v>18</v>
      </c>
      <c r="L111" s="7" t="n">
        <f aca="false">K111/PI()</f>
        <v>5.72957795130823</v>
      </c>
      <c r="M111" s="8" t="n">
        <f aca="false">PI()*L111^2/40000</f>
        <v>0.0025783100780887</v>
      </c>
      <c r="N111" s="7" t="n">
        <f aca="false">F111*$Q$3</f>
        <v>3</v>
      </c>
      <c r="O111" s="3"/>
      <c r="P111" s="3"/>
      <c r="Q111" s="3"/>
    </row>
    <row r="112" customFormat="false" ht="15" hidden="false" customHeight="false" outlineLevel="0" collapsed="false">
      <c r="A112" s="2" t="s">
        <v>32</v>
      </c>
      <c r="B112" s="2" t="n">
        <v>2</v>
      </c>
      <c r="C112" s="2" t="n">
        <v>67</v>
      </c>
      <c r="D112" s="2" t="n">
        <v>1</v>
      </c>
      <c r="E112" s="2" t="n">
        <v>240</v>
      </c>
      <c r="F112" s="2" t="n">
        <v>80</v>
      </c>
      <c r="G112" s="2" t="s">
        <v>37</v>
      </c>
      <c r="H112" s="6" t="str">
        <f aca="false">A112&amp;"_"&amp;B112</f>
        <v>chauas_2</v>
      </c>
      <c r="I112" s="6" t="str">
        <f aca="false">H112&amp;"_"&amp;C112&amp;"_"&amp;G112</f>
        <v>chauas_2_67_Tabebuia cassinoides</v>
      </c>
      <c r="J112" s="6" t="n">
        <f aca="false">IF(COUNTIF($I$2:I112,I112)=1,1,0)</f>
        <v>1</v>
      </c>
      <c r="K112" s="6" t="n">
        <f aca="false">E112*$Q$2</f>
        <v>24</v>
      </c>
      <c r="L112" s="7" t="n">
        <f aca="false">K112/PI()</f>
        <v>7.63943726841098</v>
      </c>
      <c r="M112" s="8" t="n">
        <f aca="false">PI()*L112^2/40000</f>
        <v>0.00458366236104659</v>
      </c>
      <c r="N112" s="7" t="n">
        <f aca="false">F112*$Q$3</f>
        <v>8</v>
      </c>
      <c r="O112" s="3"/>
      <c r="P112" s="3"/>
      <c r="Q112" s="3"/>
    </row>
    <row r="113" customFormat="false" ht="15" hidden="false" customHeight="false" outlineLevel="0" collapsed="false">
      <c r="A113" s="2" t="s">
        <v>32</v>
      </c>
      <c r="B113" s="2" t="n">
        <v>2</v>
      </c>
      <c r="C113" s="2" t="n">
        <v>68</v>
      </c>
      <c r="D113" s="2" t="n">
        <v>1</v>
      </c>
      <c r="E113" s="2" t="n">
        <v>380</v>
      </c>
      <c r="F113" s="2" t="n">
        <v>60</v>
      </c>
      <c r="G113" s="2" t="s">
        <v>37</v>
      </c>
      <c r="H113" s="6" t="str">
        <f aca="false">A113&amp;"_"&amp;B113</f>
        <v>chauas_2</v>
      </c>
      <c r="I113" s="6" t="str">
        <f aca="false">H113&amp;"_"&amp;C113&amp;"_"&amp;G113</f>
        <v>chauas_2_68_Tabebuia cassinoides</v>
      </c>
      <c r="J113" s="6" t="n">
        <f aca="false">IF(COUNTIF($I$2:I113,I113)=1,1,0)</f>
        <v>1</v>
      </c>
      <c r="K113" s="6" t="n">
        <f aca="false">E113*$Q$2</f>
        <v>38</v>
      </c>
      <c r="L113" s="7" t="n">
        <f aca="false">K113/PI()</f>
        <v>12.095775674984</v>
      </c>
      <c r="M113" s="8" t="n">
        <f aca="false">PI()*L113^2/40000</f>
        <v>0.0114909868912348</v>
      </c>
      <c r="N113" s="7" t="n">
        <f aca="false">F113*$Q$3</f>
        <v>6</v>
      </c>
      <c r="O113" s="3"/>
      <c r="P113" s="3"/>
      <c r="Q113" s="3"/>
    </row>
    <row r="114" customFormat="false" ht="15" hidden="false" customHeight="false" outlineLevel="0" collapsed="false">
      <c r="A114" s="2" t="s">
        <v>32</v>
      </c>
      <c r="B114" s="2" t="n">
        <v>2</v>
      </c>
      <c r="C114" s="2" t="n">
        <v>68</v>
      </c>
      <c r="D114" s="2" t="n">
        <v>2</v>
      </c>
      <c r="E114" s="2" t="n">
        <v>250</v>
      </c>
      <c r="F114" s="2" t="n">
        <v>60</v>
      </c>
      <c r="G114" s="2" t="s">
        <v>37</v>
      </c>
      <c r="H114" s="6" t="str">
        <f aca="false">A114&amp;"_"&amp;B114</f>
        <v>chauas_2</v>
      </c>
      <c r="I114" s="6" t="str">
        <f aca="false">H114&amp;"_"&amp;C114&amp;"_"&amp;G114</f>
        <v>chauas_2_68_Tabebuia cassinoides</v>
      </c>
      <c r="J114" s="6" t="n">
        <f aca="false">IF(COUNTIF($I$2:I114,I114)=1,1,0)</f>
        <v>0</v>
      </c>
      <c r="K114" s="6" t="n">
        <f aca="false">E114*$Q$2</f>
        <v>25</v>
      </c>
      <c r="L114" s="7" t="n">
        <f aca="false">K114/PI()</f>
        <v>7.95774715459477</v>
      </c>
      <c r="M114" s="8" t="n">
        <f aca="false">PI()*L114^2/40000</f>
        <v>0.00497359197162173</v>
      </c>
      <c r="N114" s="7" t="n">
        <f aca="false">F114*$Q$3</f>
        <v>6</v>
      </c>
      <c r="O114" s="3"/>
      <c r="P114" s="3"/>
      <c r="Q114" s="3"/>
    </row>
    <row r="115" customFormat="false" ht="15" hidden="false" customHeight="false" outlineLevel="0" collapsed="false">
      <c r="A115" s="2" t="s">
        <v>32</v>
      </c>
      <c r="B115" s="2" t="n">
        <v>2</v>
      </c>
      <c r="C115" s="2" t="n">
        <v>69</v>
      </c>
      <c r="D115" s="2" t="n">
        <v>1</v>
      </c>
      <c r="E115" s="2" t="n">
        <v>200</v>
      </c>
      <c r="F115" s="2" t="n">
        <v>60</v>
      </c>
      <c r="G115" s="2" t="s">
        <v>33</v>
      </c>
      <c r="H115" s="6" t="str">
        <f aca="false">A115&amp;"_"&amp;B115</f>
        <v>chauas_2</v>
      </c>
      <c r="I115" s="6" t="str">
        <f aca="false">H115&amp;"_"&amp;C115&amp;"_"&amp;G115</f>
        <v>chauas_2_69_Myrcia sulfiflora</v>
      </c>
      <c r="J115" s="6" t="n">
        <f aca="false">IF(COUNTIF($I$2:I115,I115)=1,1,0)</f>
        <v>1</v>
      </c>
      <c r="K115" s="6" t="n">
        <f aca="false">E115*$Q$2</f>
        <v>20</v>
      </c>
      <c r="L115" s="7" t="n">
        <f aca="false">K115/PI()</f>
        <v>6.36619772367581</v>
      </c>
      <c r="M115" s="8" t="n">
        <f aca="false">PI()*L115^2/40000</f>
        <v>0.00318309886183791</v>
      </c>
      <c r="N115" s="7" t="n">
        <f aca="false">F115*$Q$3</f>
        <v>6</v>
      </c>
      <c r="O115" s="3"/>
      <c r="P115" s="3"/>
      <c r="Q115" s="3"/>
    </row>
    <row r="116" customFormat="false" ht="15" hidden="false" customHeight="false" outlineLevel="0" collapsed="false">
      <c r="A116" s="2" t="s">
        <v>32</v>
      </c>
      <c r="B116" s="2" t="n">
        <v>2</v>
      </c>
      <c r="C116" s="2" t="n">
        <v>70</v>
      </c>
      <c r="D116" s="2" t="n">
        <v>1</v>
      </c>
      <c r="E116" s="2" t="n">
        <v>230</v>
      </c>
      <c r="F116" s="2" t="n">
        <v>30</v>
      </c>
      <c r="G116" s="2" t="s">
        <v>46</v>
      </c>
      <c r="H116" s="6" t="str">
        <f aca="false">A116&amp;"_"&amp;B116</f>
        <v>chauas_2</v>
      </c>
      <c r="I116" s="6" t="str">
        <f aca="false">H116&amp;"_"&amp;C116&amp;"_"&amp;G116</f>
        <v>chauas_2_70_Tibouchina nutticeps</v>
      </c>
      <c r="J116" s="6" t="n">
        <f aca="false">IF(COUNTIF($I$2:I116,I116)=1,1,0)</f>
        <v>1</v>
      </c>
      <c r="K116" s="6" t="n">
        <f aca="false">E116*$Q$2</f>
        <v>23</v>
      </c>
      <c r="L116" s="7" t="n">
        <f aca="false">K116/PI()</f>
        <v>7.32112738222719</v>
      </c>
      <c r="M116" s="8" t="n">
        <f aca="false">PI()*L116^2/40000</f>
        <v>0.00420964824478063</v>
      </c>
      <c r="N116" s="7" t="n">
        <f aca="false">F116*$Q$3</f>
        <v>3</v>
      </c>
      <c r="O116" s="3"/>
      <c r="P116" s="3"/>
      <c r="Q116" s="3"/>
    </row>
    <row r="117" customFormat="false" ht="15" hidden="false" customHeight="false" outlineLevel="0" collapsed="false">
      <c r="A117" s="2" t="s">
        <v>32</v>
      </c>
      <c r="B117" s="2" t="n">
        <v>2</v>
      </c>
      <c r="C117" s="2" t="n">
        <v>71</v>
      </c>
      <c r="D117" s="2" t="n">
        <v>1</v>
      </c>
      <c r="E117" s="2" t="n">
        <v>340</v>
      </c>
      <c r="F117" s="2" t="n">
        <v>90</v>
      </c>
      <c r="G117" s="2" t="s">
        <v>33</v>
      </c>
      <c r="H117" s="6" t="str">
        <f aca="false">A117&amp;"_"&amp;B117</f>
        <v>chauas_2</v>
      </c>
      <c r="I117" s="6" t="str">
        <f aca="false">H117&amp;"_"&amp;C117&amp;"_"&amp;G117</f>
        <v>chauas_2_71_Myrcia sulfiflora</v>
      </c>
      <c r="J117" s="6" t="n">
        <f aca="false">IF(COUNTIF($I$2:I117,I117)=1,1,0)</f>
        <v>1</v>
      </c>
      <c r="K117" s="6" t="n">
        <f aca="false">E117*$Q$2</f>
        <v>34</v>
      </c>
      <c r="L117" s="7" t="n">
        <f aca="false">K117/PI()</f>
        <v>10.8225361302489</v>
      </c>
      <c r="M117" s="8" t="n">
        <f aca="false">PI()*L117^2/40000</f>
        <v>0.00919915571071155</v>
      </c>
      <c r="N117" s="7" t="n">
        <f aca="false">F117*$Q$3</f>
        <v>9</v>
      </c>
      <c r="O117" s="3"/>
      <c r="P117" s="3"/>
      <c r="Q117" s="3"/>
    </row>
    <row r="118" customFormat="false" ht="15" hidden="false" customHeight="false" outlineLevel="0" collapsed="false">
      <c r="A118" s="2" t="s">
        <v>32</v>
      </c>
      <c r="B118" s="2" t="n">
        <v>2</v>
      </c>
      <c r="C118" s="2" t="n">
        <v>72</v>
      </c>
      <c r="D118" s="2" t="n">
        <v>1</v>
      </c>
      <c r="E118" s="2" t="n">
        <v>160</v>
      </c>
      <c r="F118" s="2" t="n">
        <v>60</v>
      </c>
      <c r="G118" s="2" t="s">
        <v>37</v>
      </c>
      <c r="H118" s="6" t="str">
        <f aca="false">A118&amp;"_"&amp;B118</f>
        <v>chauas_2</v>
      </c>
      <c r="I118" s="6" t="str">
        <f aca="false">H118&amp;"_"&amp;C118&amp;"_"&amp;G118</f>
        <v>chauas_2_72_Tabebuia cassinoides</v>
      </c>
      <c r="J118" s="6" t="n">
        <f aca="false">IF(COUNTIF($I$2:I118,I118)=1,1,0)</f>
        <v>1</v>
      </c>
      <c r="K118" s="6" t="n">
        <f aca="false">E118*$Q$2</f>
        <v>16</v>
      </c>
      <c r="L118" s="7" t="n">
        <f aca="false">K118/PI()</f>
        <v>5.09295817894065</v>
      </c>
      <c r="M118" s="8" t="n">
        <f aca="false">PI()*L118^2/40000</f>
        <v>0.00203718327157626</v>
      </c>
      <c r="N118" s="7" t="n">
        <f aca="false">F118*$Q$3</f>
        <v>6</v>
      </c>
      <c r="O118" s="3"/>
      <c r="P118" s="3"/>
      <c r="Q118" s="3"/>
    </row>
    <row r="119" customFormat="false" ht="15" hidden="false" customHeight="false" outlineLevel="0" collapsed="false">
      <c r="A119" s="2" t="s">
        <v>32</v>
      </c>
      <c r="B119" s="2" t="n">
        <v>2</v>
      </c>
      <c r="C119" s="2" t="n">
        <v>72</v>
      </c>
      <c r="D119" s="2" t="n">
        <v>1</v>
      </c>
      <c r="E119" s="2" t="n">
        <v>150</v>
      </c>
      <c r="F119" s="2" t="n">
        <v>60</v>
      </c>
      <c r="G119" s="2" t="s">
        <v>37</v>
      </c>
      <c r="H119" s="6" t="str">
        <f aca="false">A119&amp;"_"&amp;B119</f>
        <v>chauas_2</v>
      </c>
      <c r="I119" s="6" t="str">
        <f aca="false">H119&amp;"_"&amp;C119&amp;"_"&amp;G119</f>
        <v>chauas_2_72_Tabebuia cassinoides</v>
      </c>
      <c r="J119" s="6" t="n">
        <f aca="false">IF(COUNTIF($I$2:I119,I119)=1,1,0)</f>
        <v>0</v>
      </c>
      <c r="K119" s="6" t="n">
        <f aca="false">E119*$Q$2</f>
        <v>15</v>
      </c>
      <c r="L119" s="7" t="n">
        <f aca="false">K119/PI()</f>
        <v>4.77464829275686</v>
      </c>
      <c r="M119" s="8" t="n">
        <f aca="false">PI()*L119^2/40000</f>
        <v>0.00179049310978382</v>
      </c>
      <c r="N119" s="7" t="n">
        <f aca="false">F119*$Q$3</f>
        <v>6</v>
      </c>
      <c r="O119" s="3"/>
      <c r="P119" s="3"/>
      <c r="Q119" s="3"/>
    </row>
    <row r="120" customFormat="false" ht="15" hidden="false" customHeight="false" outlineLevel="0" collapsed="false">
      <c r="A120" s="2" t="s">
        <v>32</v>
      </c>
      <c r="B120" s="2" t="n">
        <v>2</v>
      </c>
      <c r="C120" s="2" t="n">
        <v>73</v>
      </c>
      <c r="D120" s="2" t="n">
        <v>1</v>
      </c>
      <c r="E120" s="2" t="n">
        <v>200</v>
      </c>
      <c r="F120" s="2" t="n">
        <v>80</v>
      </c>
      <c r="G120" s="2" t="s">
        <v>37</v>
      </c>
      <c r="H120" s="6" t="str">
        <f aca="false">A120&amp;"_"&amp;B120</f>
        <v>chauas_2</v>
      </c>
      <c r="I120" s="6" t="str">
        <f aca="false">H120&amp;"_"&amp;C120&amp;"_"&amp;G120</f>
        <v>chauas_2_73_Tabebuia cassinoides</v>
      </c>
      <c r="J120" s="6" t="n">
        <f aca="false">IF(COUNTIF($I$2:I120,I120)=1,1,0)</f>
        <v>1</v>
      </c>
      <c r="K120" s="6" t="n">
        <f aca="false">E120*$Q$2</f>
        <v>20</v>
      </c>
      <c r="L120" s="7" t="n">
        <f aca="false">K120/PI()</f>
        <v>6.36619772367581</v>
      </c>
      <c r="M120" s="8" t="n">
        <f aca="false">PI()*L120^2/40000</f>
        <v>0.00318309886183791</v>
      </c>
      <c r="N120" s="7" t="n">
        <f aca="false">F120*$Q$3</f>
        <v>8</v>
      </c>
      <c r="O120" s="3"/>
      <c r="P120" s="3"/>
      <c r="Q120" s="3"/>
    </row>
    <row r="121" customFormat="false" ht="15" hidden="false" customHeight="false" outlineLevel="0" collapsed="false">
      <c r="A121" s="2" t="s">
        <v>32</v>
      </c>
      <c r="B121" s="2" t="n">
        <v>2</v>
      </c>
      <c r="C121" s="2" t="n">
        <v>74</v>
      </c>
      <c r="D121" s="2" t="n">
        <v>1</v>
      </c>
      <c r="E121" s="2" t="n">
        <v>540</v>
      </c>
      <c r="F121" s="2" t="n">
        <v>110</v>
      </c>
      <c r="G121" s="2" t="s">
        <v>37</v>
      </c>
      <c r="H121" s="6" t="str">
        <f aca="false">A121&amp;"_"&amp;B121</f>
        <v>chauas_2</v>
      </c>
      <c r="I121" s="6" t="str">
        <f aca="false">H121&amp;"_"&amp;C121&amp;"_"&amp;G121</f>
        <v>chauas_2_74_Tabebuia cassinoides</v>
      </c>
      <c r="J121" s="6" t="n">
        <f aca="false">IF(COUNTIF($I$2:I121,I121)=1,1,0)</f>
        <v>1</v>
      </c>
      <c r="K121" s="6" t="n">
        <f aca="false">E121*$Q$2</f>
        <v>54</v>
      </c>
      <c r="L121" s="7" t="n">
        <f aca="false">K121/PI()</f>
        <v>17.1887338539247</v>
      </c>
      <c r="M121" s="8" t="n">
        <f aca="false">PI()*L121^2/40000</f>
        <v>0.0232047907027983</v>
      </c>
      <c r="N121" s="7" t="n">
        <f aca="false">F121*$Q$3</f>
        <v>11</v>
      </c>
      <c r="O121" s="3"/>
      <c r="P121" s="3"/>
      <c r="Q121" s="3"/>
    </row>
    <row r="122" customFormat="false" ht="15" hidden="false" customHeight="false" outlineLevel="0" collapsed="false">
      <c r="A122" s="2" t="s">
        <v>32</v>
      </c>
      <c r="B122" s="2" t="n">
        <v>2</v>
      </c>
      <c r="C122" s="2" t="n">
        <v>75</v>
      </c>
      <c r="D122" s="2" t="n">
        <v>1</v>
      </c>
      <c r="E122" s="2" t="n">
        <v>300</v>
      </c>
      <c r="F122" s="2" t="n">
        <v>80</v>
      </c>
      <c r="G122" s="2" t="s">
        <v>37</v>
      </c>
      <c r="H122" s="6" t="str">
        <f aca="false">A122&amp;"_"&amp;B122</f>
        <v>chauas_2</v>
      </c>
      <c r="I122" s="6" t="str">
        <f aca="false">H122&amp;"_"&amp;C122&amp;"_"&amp;G122</f>
        <v>chauas_2_75_Tabebuia cassinoides</v>
      </c>
      <c r="J122" s="6" t="n">
        <f aca="false">IF(COUNTIF($I$2:I122,I122)=1,1,0)</f>
        <v>1</v>
      </c>
      <c r="K122" s="6" t="n">
        <f aca="false">E122*$Q$2</f>
        <v>30</v>
      </c>
      <c r="L122" s="7" t="n">
        <f aca="false">K122/PI()</f>
        <v>9.54929658551372</v>
      </c>
      <c r="M122" s="8" t="n">
        <f aca="false">PI()*L122^2/40000</f>
        <v>0.00716197243913529</v>
      </c>
      <c r="N122" s="7" t="n">
        <f aca="false">F122*$Q$3</f>
        <v>8</v>
      </c>
      <c r="O122" s="3"/>
      <c r="P122" s="3"/>
      <c r="Q122" s="3"/>
    </row>
    <row r="123" customFormat="false" ht="15" hidden="false" customHeight="false" outlineLevel="0" collapsed="false">
      <c r="A123" s="2" t="s">
        <v>32</v>
      </c>
      <c r="B123" s="2" t="n">
        <v>2</v>
      </c>
      <c r="C123" s="2" t="n">
        <v>75</v>
      </c>
      <c r="D123" s="2" t="n">
        <v>2</v>
      </c>
      <c r="E123" s="2" t="n">
        <v>230</v>
      </c>
      <c r="F123" s="2" t="n">
        <v>80</v>
      </c>
      <c r="G123" s="2" t="s">
        <v>37</v>
      </c>
      <c r="H123" s="6" t="str">
        <f aca="false">A123&amp;"_"&amp;B123</f>
        <v>chauas_2</v>
      </c>
      <c r="I123" s="6" t="str">
        <f aca="false">H123&amp;"_"&amp;C123&amp;"_"&amp;G123</f>
        <v>chauas_2_75_Tabebuia cassinoides</v>
      </c>
      <c r="J123" s="6" t="n">
        <f aca="false">IF(COUNTIF($I$2:I123,I123)=1,1,0)</f>
        <v>0</v>
      </c>
      <c r="K123" s="6" t="n">
        <f aca="false">E123*$Q$2</f>
        <v>23</v>
      </c>
      <c r="L123" s="7" t="n">
        <f aca="false">K123/PI()</f>
        <v>7.32112738222719</v>
      </c>
      <c r="M123" s="8" t="n">
        <f aca="false">PI()*L123^2/40000</f>
        <v>0.00420964824478063</v>
      </c>
      <c r="N123" s="7" t="n">
        <f aca="false">F123*$Q$3</f>
        <v>8</v>
      </c>
      <c r="O123" s="3"/>
      <c r="P123" s="3"/>
      <c r="Q123" s="3"/>
    </row>
    <row r="124" customFormat="false" ht="15" hidden="false" customHeight="false" outlineLevel="0" collapsed="false">
      <c r="A124" s="2" t="s">
        <v>32</v>
      </c>
      <c r="B124" s="2" t="n">
        <v>2</v>
      </c>
      <c r="C124" s="2" t="n">
        <v>76</v>
      </c>
      <c r="D124" s="2" t="n">
        <v>1</v>
      </c>
      <c r="E124" s="2" t="n">
        <v>410</v>
      </c>
      <c r="F124" s="2" t="n">
        <v>90</v>
      </c>
      <c r="G124" s="2" t="s">
        <v>37</v>
      </c>
      <c r="H124" s="6" t="str">
        <f aca="false">A124&amp;"_"&amp;B124</f>
        <v>chauas_2</v>
      </c>
      <c r="I124" s="6" t="str">
        <f aca="false">H124&amp;"_"&amp;C124&amp;"_"&amp;G124</f>
        <v>chauas_2_76_Tabebuia cassinoides</v>
      </c>
      <c r="J124" s="6" t="n">
        <f aca="false">IF(COUNTIF($I$2:I124,I124)=1,1,0)</f>
        <v>1</v>
      </c>
      <c r="K124" s="6" t="n">
        <f aca="false">E124*$Q$2</f>
        <v>41</v>
      </c>
      <c r="L124" s="7" t="n">
        <f aca="false">K124/PI()</f>
        <v>13.0507053335354</v>
      </c>
      <c r="M124" s="8" t="n">
        <f aca="false">PI()*L124^2/40000</f>
        <v>0.0133769729668738</v>
      </c>
      <c r="N124" s="7" t="n">
        <f aca="false">F124*$Q$3</f>
        <v>9</v>
      </c>
      <c r="O124" s="3"/>
      <c r="P124" s="3"/>
      <c r="Q124" s="3"/>
    </row>
    <row r="125" customFormat="false" ht="15" hidden="false" customHeight="false" outlineLevel="0" collapsed="false">
      <c r="A125" s="2" t="s">
        <v>32</v>
      </c>
      <c r="B125" s="2" t="n">
        <v>2</v>
      </c>
      <c r="C125" s="2" t="n">
        <v>77</v>
      </c>
      <c r="D125" s="2" t="n">
        <v>1</v>
      </c>
      <c r="E125" s="2" t="n">
        <v>320</v>
      </c>
      <c r="F125" s="2" t="n">
        <v>60</v>
      </c>
      <c r="G125" s="2" t="s">
        <v>33</v>
      </c>
      <c r="H125" s="6" t="str">
        <f aca="false">A125&amp;"_"&amp;B125</f>
        <v>chauas_2</v>
      </c>
      <c r="I125" s="6" t="str">
        <f aca="false">H125&amp;"_"&amp;C125&amp;"_"&amp;G125</f>
        <v>chauas_2_77_Myrcia sulfiflora</v>
      </c>
      <c r="J125" s="6" t="n">
        <f aca="false">IF(COUNTIF($I$2:I125,I125)=1,1,0)</f>
        <v>1</v>
      </c>
      <c r="K125" s="6" t="n">
        <f aca="false">E125*$Q$2</f>
        <v>32</v>
      </c>
      <c r="L125" s="7" t="n">
        <f aca="false">K125/PI()</f>
        <v>10.1859163578813</v>
      </c>
      <c r="M125" s="8" t="n">
        <f aca="false">PI()*L125^2/40000</f>
        <v>0.00814873308630504</v>
      </c>
      <c r="N125" s="7" t="n">
        <f aca="false">F125*$Q$3</f>
        <v>6</v>
      </c>
      <c r="O125" s="3"/>
      <c r="P125" s="3"/>
      <c r="Q125" s="3"/>
    </row>
    <row r="126" customFormat="false" ht="15" hidden="false" customHeight="false" outlineLevel="0" collapsed="false">
      <c r="A126" s="2" t="s">
        <v>32</v>
      </c>
      <c r="B126" s="2" t="n">
        <v>2</v>
      </c>
      <c r="C126" s="2" t="n">
        <v>78</v>
      </c>
      <c r="D126" s="2" t="n">
        <v>1</v>
      </c>
      <c r="E126" s="2" t="n">
        <v>160</v>
      </c>
      <c r="F126" s="2" t="n">
        <v>40</v>
      </c>
      <c r="G126" s="2" t="s">
        <v>37</v>
      </c>
      <c r="H126" s="6" t="str">
        <f aca="false">A126&amp;"_"&amp;B126</f>
        <v>chauas_2</v>
      </c>
      <c r="I126" s="6" t="str">
        <f aca="false">H126&amp;"_"&amp;C126&amp;"_"&amp;G126</f>
        <v>chauas_2_78_Tabebuia cassinoides</v>
      </c>
      <c r="J126" s="6" t="n">
        <f aca="false">IF(COUNTIF($I$2:I126,I126)=1,1,0)</f>
        <v>1</v>
      </c>
      <c r="K126" s="6" t="n">
        <f aca="false">E126*$Q$2</f>
        <v>16</v>
      </c>
      <c r="L126" s="7" t="n">
        <f aca="false">K126/PI()</f>
        <v>5.09295817894065</v>
      </c>
      <c r="M126" s="8" t="n">
        <f aca="false">PI()*L126^2/40000</f>
        <v>0.00203718327157626</v>
      </c>
      <c r="N126" s="7" t="n">
        <f aca="false">F126*$Q$3</f>
        <v>4</v>
      </c>
      <c r="O126" s="3"/>
      <c r="P126" s="3"/>
      <c r="Q126" s="3"/>
    </row>
    <row r="127" customFormat="false" ht="15" hidden="false" customHeight="false" outlineLevel="0" collapsed="false">
      <c r="A127" s="2" t="s">
        <v>32</v>
      </c>
      <c r="B127" s="2" t="n">
        <v>2</v>
      </c>
      <c r="C127" s="2" t="n">
        <v>79</v>
      </c>
      <c r="D127" s="2" t="n">
        <v>1</v>
      </c>
      <c r="E127" s="2" t="n">
        <v>290</v>
      </c>
      <c r="F127" s="2" t="n">
        <v>30</v>
      </c>
      <c r="G127" s="2" t="s">
        <v>47</v>
      </c>
      <c r="H127" s="6" t="str">
        <f aca="false">A127&amp;"_"&amp;B127</f>
        <v>chauas_2</v>
      </c>
      <c r="I127" s="6" t="str">
        <f aca="false">H127&amp;"_"&amp;C127&amp;"_"&amp;G127</f>
        <v>chauas_2_79_myrtaceae2</v>
      </c>
      <c r="J127" s="6" t="n">
        <f aca="false">IF(COUNTIF($I$2:I127,I127)=1,1,0)</f>
        <v>1</v>
      </c>
      <c r="K127" s="6" t="n">
        <f aca="false">E127*$Q$2</f>
        <v>29</v>
      </c>
      <c r="L127" s="7" t="n">
        <f aca="false">K127/PI()</f>
        <v>9.23098669932993</v>
      </c>
      <c r="M127" s="8" t="n">
        <f aca="false">PI()*L127^2/40000</f>
        <v>0.0066924653570142</v>
      </c>
      <c r="N127" s="7" t="n">
        <f aca="false">F127*$Q$3</f>
        <v>3</v>
      </c>
      <c r="O127" s="3"/>
      <c r="P127" s="3"/>
      <c r="Q127" s="3"/>
    </row>
    <row r="128" customFormat="false" ht="15" hidden="false" customHeight="false" outlineLevel="0" collapsed="false">
      <c r="A128" s="2" t="s">
        <v>32</v>
      </c>
      <c r="B128" s="2" t="n">
        <v>2</v>
      </c>
      <c r="C128" s="2" t="n">
        <v>80</v>
      </c>
      <c r="D128" s="2" t="n">
        <v>1</v>
      </c>
      <c r="E128" s="2" t="n">
        <v>210</v>
      </c>
      <c r="F128" s="2" t="n">
        <v>70</v>
      </c>
      <c r="G128" s="2" t="s">
        <v>33</v>
      </c>
      <c r="H128" s="6" t="str">
        <f aca="false">A128&amp;"_"&amp;B128</f>
        <v>chauas_2</v>
      </c>
      <c r="I128" s="6" t="str">
        <f aca="false">H128&amp;"_"&amp;C128&amp;"_"&amp;G128</f>
        <v>chauas_2_80_Myrcia sulfiflora</v>
      </c>
      <c r="J128" s="6" t="n">
        <f aca="false">IF(COUNTIF($I$2:I128,I128)=1,1,0)</f>
        <v>1</v>
      </c>
      <c r="K128" s="6" t="n">
        <f aca="false">E128*$Q$2</f>
        <v>21</v>
      </c>
      <c r="L128" s="7" t="n">
        <f aca="false">K128/PI()</f>
        <v>6.68450760985961</v>
      </c>
      <c r="M128" s="8" t="n">
        <f aca="false">PI()*L128^2/40000</f>
        <v>0.00350936649517629</v>
      </c>
      <c r="N128" s="7" t="n">
        <f aca="false">F128*$Q$3</f>
        <v>7</v>
      </c>
      <c r="O128" s="3"/>
      <c r="P128" s="3"/>
      <c r="Q128" s="3"/>
    </row>
    <row r="129" customFormat="false" ht="15" hidden="false" customHeight="false" outlineLevel="0" collapsed="false">
      <c r="A129" s="2" t="s">
        <v>32</v>
      </c>
      <c r="B129" s="2" t="n">
        <v>2</v>
      </c>
      <c r="C129" s="2" t="n">
        <v>81</v>
      </c>
      <c r="D129" s="2" t="n">
        <v>1</v>
      </c>
      <c r="E129" s="2" t="n">
        <v>350</v>
      </c>
      <c r="F129" s="2" t="n">
        <v>110</v>
      </c>
      <c r="G129" s="2" t="s">
        <v>37</v>
      </c>
      <c r="H129" s="6" t="str">
        <f aca="false">A129&amp;"_"&amp;B129</f>
        <v>chauas_2</v>
      </c>
      <c r="I129" s="6" t="str">
        <f aca="false">H129&amp;"_"&amp;C129&amp;"_"&amp;G129</f>
        <v>chauas_2_81_Tabebuia cassinoides</v>
      </c>
      <c r="J129" s="6" t="n">
        <f aca="false">IF(COUNTIF($I$2:I129,I129)=1,1,0)</f>
        <v>1</v>
      </c>
      <c r="K129" s="6" t="n">
        <f aca="false">E129*$Q$2</f>
        <v>35</v>
      </c>
      <c r="L129" s="7" t="n">
        <f aca="false">K129/PI()</f>
        <v>11.1408460164327</v>
      </c>
      <c r="M129" s="8" t="n">
        <f aca="false">PI()*L129^2/40000</f>
        <v>0.00974824026437859</v>
      </c>
      <c r="N129" s="7" t="n">
        <f aca="false">F129*$Q$3</f>
        <v>11</v>
      </c>
      <c r="O129" s="3"/>
      <c r="P129" s="3"/>
      <c r="Q129" s="3"/>
    </row>
    <row r="130" customFormat="false" ht="15" hidden="false" customHeight="false" outlineLevel="0" collapsed="false">
      <c r="A130" s="2" t="s">
        <v>32</v>
      </c>
      <c r="B130" s="2" t="n">
        <v>2</v>
      </c>
      <c r="C130" s="2" t="n">
        <v>82</v>
      </c>
      <c r="D130" s="2" t="n">
        <v>1</v>
      </c>
      <c r="E130" s="2" t="n">
        <v>280</v>
      </c>
      <c r="F130" s="2" t="n">
        <v>80</v>
      </c>
      <c r="G130" s="2" t="s">
        <v>33</v>
      </c>
      <c r="H130" s="6" t="str">
        <f aca="false">A130&amp;"_"&amp;B130</f>
        <v>chauas_2</v>
      </c>
      <c r="I130" s="6" t="str">
        <f aca="false">H130&amp;"_"&amp;C130&amp;"_"&amp;G130</f>
        <v>chauas_2_82_Myrcia sulfiflora</v>
      </c>
      <c r="J130" s="6" t="n">
        <f aca="false">IF(COUNTIF($I$2:I130,I130)=1,1,0)</f>
        <v>1</v>
      </c>
      <c r="K130" s="6" t="n">
        <f aca="false">E130*$Q$2</f>
        <v>28</v>
      </c>
      <c r="L130" s="7" t="n">
        <f aca="false">K130/PI()</f>
        <v>8.91267681314614</v>
      </c>
      <c r="M130" s="8" t="n">
        <f aca="false">PI()*L130^2/40000</f>
        <v>0.0062388737692023</v>
      </c>
      <c r="N130" s="7" t="n">
        <f aca="false">F130*$Q$3</f>
        <v>8</v>
      </c>
      <c r="O130" s="3"/>
      <c r="P130" s="3"/>
      <c r="Q130" s="3"/>
    </row>
    <row r="131" customFormat="false" ht="15" hidden="false" customHeight="false" outlineLevel="0" collapsed="false">
      <c r="A131" s="2" t="s">
        <v>32</v>
      </c>
      <c r="B131" s="2" t="n">
        <v>2</v>
      </c>
      <c r="C131" s="2" t="n">
        <v>83</v>
      </c>
      <c r="D131" s="2" t="n">
        <v>1</v>
      </c>
      <c r="E131" s="2" t="n">
        <v>1020</v>
      </c>
      <c r="F131" s="2" t="n">
        <v>140</v>
      </c>
      <c r="G131" s="2" t="s">
        <v>48</v>
      </c>
      <c r="H131" s="6" t="str">
        <f aca="false">A131&amp;"_"&amp;B131</f>
        <v>chauas_2</v>
      </c>
      <c r="I131" s="6" t="str">
        <f aca="false">H131&amp;"_"&amp;C131&amp;"_"&amp;G131</f>
        <v>chauas_2_83_Calophyllum brasiliensis</v>
      </c>
      <c r="J131" s="6" t="n">
        <f aca="false">IF(COUNTIF($I$2:I131,I131)=1,1,0)</f>
        <v>1</v>
      </c>
      <c r="K131" s="6" t="n">
        <f aca="false">E131*$Q$2</f>
        <v>102</v>
      </c>
      <c r="L131" s="7" t="n">
        <f aca="false">K131/PI()</f>
        <v>32.4676083907467</v>
      </c>
      <c r="M131" s="8" t="n">
        <f aca="false">PI()*L131^2/40000</f>
        <v>0.082792401396404</v>
      </c>
      <c r="N131" s="7" t="n">
        <f aca="false">F131*$Q$3</f>
        <v>14</v>
      </c>
      <c r="O131" s="3"/>
      <c r="P131" s="3"/>
      <c r="Q131" s="3"/>
    </row>
    <row r="132" customFormat="false" ht="15" hidden="false" customHeight="false" outlineLevel="0" collapsed="false">
      <c r="A132" s="2" t="s">
        <v>32</v>
      </c>
      <c r="B132" s="2" t="n">
        <v>2</v>
      </c>
      <c r="C132" s="2" t="n">
        <v>84</v>
      </c>
      <c r="D132" s="2" t="n">
        <v>1</v>
      </c>
      <c r="E132" s="2" t="n">
        <v>250</v>
      </c>
      <c r="F132" s="2" t="n">
        <v>70</v>
      </c>
      <c r="G132" s="2" t="s">
        <v>37</v>
      </c>
      <c r="H132" s="6" t="str">
        <f aca="false">A132&amp;"_"&amp;B132</f>
        <v>chauas_2</v>
      </c>
      <c r="I132" s="6" t="str">
        <f aca="false">H132&amp;"_"&amp;C132&amp;"_"&amp;G132</f>
        <v>chauas_2_84_Tabebuia cassinoides</v>
      </c>
      <c r="J132" s="6" t="n">
        <f aca="false">IF(COUNTIF($I$2:I132,I132)=1,1,0)</f>
        <v>1</v>
      </c>
      <c r="K132" s="6" t="n">
        <f aca="false">E132*$Q$2</f>
        <v>25</v>
      </c>
      <c r="L132" s="7" t="n">
        <f aca="false">K132/PI()</f>
        <v>7.95774715459477</v>
      </c>
      <c r="M132" s="8" t="n">
        <f aca="false">PI()*L132^2/40000</f>
        <v>0.00497359197162173</v>
      </c>
      <c r="N132" s="7" t="n">
        <f aca="false">F132*$Q$3</f>
        <v>7</v>
      </c>
      <c r="O132" s="3"/>
      <c r="P132" s="3"/>
      <c r="Q132" s="3"/>
    </row>
    <row r="133" customFormat="false" ht="15" hidden="false" customHeight="false" outlineLevel="0" collapsed="false">
      <c r="A133" s="2" t="s">
        <v>32</v>
      </c>
      <c r="B133" s="2" t="n">
        <v>2</v>
      </c>
      <c r="C133" s="2" t="n">
        <v>84</v>
      </c>
      <c r="D133" s="2" t="n">
        <v>2</v>
      </c>
      <c r="E133" s="2" t="n">
        <v>170</v>
      </c>
      <c r="F133" s="2" t="n">
        <v>70</v>
      </c>
      <c r="G133" s="2" t="s">
        <v>37</v>
      </c>
      <c r="H133" s="6" t="str">
        <f aca="false">A133&amp;"_"&amp;B133</f>
        <v>chauas_2</v>
      </c>
      <c r="I133" s="6" t="str">
        <f aca="false">H133&amp;"_"&amp;C133&amp;"_"&amp;G133</f>
        <v>chauas_2_84_Tabebuia cassinoides</v>
      </c>
      <c r="J133" s="6" t="n">
        <f aca="false">IF(COUNTIF($I$2:I133,I133)=1,1,0)</f>
        <v>0</v>
      </c>
      <c r="K133" s="6" t="n">
        <f aca="false">E133*$Q$2</f>
        <v>17</v>
      </c>
      <c r="L133" s="7" t="n">
        <f aca="false">K133/PI()</f>
        <v>5.41126806512444</v>
      </c>
      <c r="M133" s="8" t="n">
        <f aca="false">PI()*L133^2/40000</f>
        <v>0.00229978892767789</v>
      </c>
      <c r="N133" s="7" t="n">
        <f aca="false">F133*$Q$3</f>
        <v>7</v>
      </c>
      <c r="O133" s="3"/>
      <c r="P133" s="3"/>
      <c r="Q133" s="3"/>
    </row>
    <row r="134" customFormat="false" ht="15" hidden="false" customHeight="false" outlineLevel="0" collapsed="false">
      <c r="A134" s="2" t="s">
        <v>32</v>
      </c>
      <c r="B134" s="2" t="n">
        <v>2</v>
      </c>
      <c r="C134" s="2" t="n">
        <v>84</v>
      </c>
      <c r="D134" s="2" t="n">
        <v>3</v>
      </c>
      <c r="E134" s="2" t="n">
        <v>210</v>
      </c>
      <c r="F134" s="2" t="n">
        <v>70</v>
      </c>
      <c r="G134" s="2" t="s">
        <v>37</v>
      </c>
      <c r="H134" s="6" t="str">
        <f aca="false">A134&amp;"_"&amp;B134</f>
        <v>chauas_2</v>
      </c>
      <c r="I134" s="6" t="str">
        <f aca="false">H134&amp;"_"&amp;C134&amp;"_"&amp;G134</f>
        <v>chauas_2_84_Tabebuia cassinoides</v>
      </c>
      <c r="J134" s="6" t="n">
        <f aca="false">IF(COUNTIF($I$2:I134,I134)=1,1,0)</f>
        <v>0</v>
      </c>
      <c r="K134" s="6" t="n">
        <f aca="false">E134*$Q$2</f>
        <v>21</v>
      </c>
      <c r="L134" s="7" t="n">
        <f aca="false">K134/PI()</f>
        <v>6.68450760985961</v>
      </c>
      <c r="M134" s="8" t="n">
        <f aca="false">PI()*L134^2/40000</f>
        <v>0.00350936649517629</v>
      </c>
      <c r="N134" s="7" t="n">
        <f aca="false">F134*$Q$3</f>
        <v>7</v>
      </c>
      <c r="O134" s="3"/>
      <c r="P134" s="3"/>
      <c r="Q134" s="3"/>
    </row>
    <row r="135" customFormat="false" ht="15" hidden="false" customHeight="false" outlineLevel="0" collapsed="false">
      <c r="A135" s="2" t="s">
        <v>32</v>
      </c>
      <c r="B135" s="2" t="n">
        <v>2</v>
      </c>
      <c r="C135" s="2" t="n">
        <v>85</v>
      </c>
      <c r="D135" s="2" t="n">
        <v>1</v>
      </c>
      <c r="E135" s="2" t="n">
        <v>380</v>
      </c>
      <c r="F135" s="2" t="n">
        <v>100</v>
      </c>
      <c r="G135" s="2" t="s">
        <v>37</v>
      </c>
      <c r="H135" s="6" t="str">
        <f aca="false">A135&amp;"_"&amp;B135</f>
        <v>chauas_2</v>
      </c>
      <c r="I135" s="6" t="str">
        <f aca="false">H135&amp;"_"&amp;C135&amp;"_"&amp;G135</f>
        <v>chauas_2_85_Tabebuia cassinoides</v>
      </c>
      <c r="J135" s="6" t="n">
        <f aca="false">IF(COUNTIF($I$2:I135,I135)=1,1,0)</f>
        <v>1</v>
      </c>
      <c r="K135" s="6" t="n">
        <f aca="false">E135*$Q$2</f>
        <v>38</v>
      </c>
      <c r="L135" s="7" t="n">
        <f aca="false">K135/PI()</f>
        <v>12.095775674984</v>
      </c>
      <c r="M135" s="8" t="n">
        <f aca="false">PI()*L135^2/40000</f>
        <v>0.0114909868912348</v>
      </c>
      <c r="N135" s="7" t="n">
        <f aca="false">F135*$Q$3</f>
        <v>10</v>
      </c>
      <c r="O135" s="3"/>
      <c r="P135" s="3"/>
      <c r="Q135" s="3"/>
    </row>
    <row r="136" customFormat="false" ht="15" hidden="false" customHeight="false" outlineLevel="0" collapsed="false">
      <c r="A136" s="2" t="s">
        <v>32</v>
      </c>
      <c r="B136" s="2" t="n">
        <v>2</v>
      </c>
      <c r="C136" s="2" t="n">
        <v>86</v>
      </c>
      <c r="D136" s="2" t="n">
        <v>1</v>
      </c>
      <c r="E136" s="2" t="n">
        <v>280</v>
      </c>
      <c r="F136" s="2" t="n">
        <v>60</v>
      </c>
      <c r="G136" s="2" t="s">
        <v>37</v>
      </c>
      <c r="H136" s="6" t="str">
        <f aca="false">A136&amp;"_"&amp;B136</f>
        <v>chauas_2</v>
      </c>
      <c r="I136" s="6" t="str">
        <f aca="false">H136&amp;"_"&amp;C136&amp;"_"&amp;G136</f>
        <v>chauas_2_86_Tabebuia cassinoides</v>
      </c>
      <c r="J136" s="6" t="n">
        <f aca="false">IF(COUNTIF($I$2:I136,I136)=1,1,0)</f>
        <v>1</v>
      </c>
      <c r="K136" s="6" t="n">
        <f aca="false">E136*$Q$2</f>
        <v>28</v>
      </c>
      <c r="L136" s="7" t="n">
        <f aca="false">K136/PI()</f>
        <v>8.91267681314614</v>
      </c>
      <c r="M136" s="8" t="n">
        <f aca="false">PI()*L136^2/40000</f>
        <v>0.0062388737692023</v>
      </c>
      <c r="N136" s="7" t="n">
        <f aca="false">F136*$Q$3</f>
        <v>6</v>
      </c>
      <c r="O136" s="3"/>
      <c r="P136" s="3"/>
      <c r="Q136" s="3"/>
    </row>
    <row r="137" customFormat="false" ht="15" hidden="false" customHeight="false" outlineLevel="0" collapsed="false">
      <c r="A137" s="2" t="s">
        <v>32</v>
      </c>
      <c r="B137" s="2" t="n">
        <v>2</v>
      </c>
      <c r="C137" s="2" t="n">
        <v>87</v>
      </c>
      <c r="D137" s="2" t="n">
        <v>1</v>
      </c>
      <c r="E137" s="2" t="n">
        <v>390</v>
      </c>
      <c r="F137" s="2" t="n">
        <v>90</v>
      </c>
      <c r="G137" s="2" t="s">
        <v>42</v>
      </c>
      <c r="H137" s="6" t="str">
        <f aca="false">A137&amp;"_"&amp;B137</f>
        <v>chauas_2</v>
      </c>
      <c r="I137" s="6" t="str">
        <f aca="false">H137&amp;"_"&amp;C137&amp;"_"&amp;G137</f>
        <v>chauas_2_87_myrtaceae1</v>
      </c>
      <c r="J137" s="6" t="n">
        <f aca="false">IF(COUNTIF($I$2:I137,I137)=1,1,0)</f>
        <v>1</v>
      </c>
      <c r="K137" s="6" t="n">
        <f aca="false">E137*$Q$2</f>
        <v>39</v>
      </c>
      <c r="L137" s="7" t="n">
        <f aca="false">K137/PI()</f>
        <v>12.4140855611678</v>
      </c>
      <c r="M137" s="8" t="n">
        <f aca="false">PI()*L137^2/40000</f>
        <v>0.0121037334221386</v>
      </c>
      <c r="N137" s="7" t="n">
        <f aca="false">F137*$Q$3</f>
        <v>9</v>
      </c>
      <c r="O137" s="3"/>
      <c r="P137" s="3"/>
      <c r="Q137" s="3"/>
    </row>
    <row r="138" customFormat="false" ht="15" hidden="false" customHeight="false" outlineLevel="0" collapsed="false">
      <c r="A138" s="2" t="s">
        <v>32</v>
      </c>
      <c r="B138" s="2" t="n">
        <v>2</v>
      </c>
      <c r="C138" s="2" t="n">
        <v>88</v>
      </c>
      <c r="D138" s="2" t="n">
        <v>1</v>
      </c>
      <c r="E138" s="2" t="n">
        <v>210</v>
      </c>
      <c r="F138" s="2" t="n">
        <v>80</v>
      </c>
      <c r="G138" s="2" t="s">
        <v>37</v>
      </c>
      <c r="H138" s="6" t="str">
        <f aca="false">A138&amp;"_"&amp;B138</f>
        <v>chauas_2</v>
      </c>
      <c r="I138" s="6" t="str">
        <f aca="false">H138&amp;"_"&amp;C138&amp;"_"&amp;G138</f>
        <v>chauas_2_88_Tabebuia cassinoides</v>
      </c>
      <c r="J138" s="6" t="n">
        <f aca="false">IF(COUNTIF($I$2:I138,I138)=1,1,0)</f>
        <v>1</v>
      </c>
      <c r="K138" s="6" t="n">
        <f aca="false">E138*$Q$2</f>
        <v>21</v>
      </c>
      <c r="L138" s="7" t="n">
        <f aca="false">K138/PI()</f>
        <v>6.68450760985961</v>
      </c>
      <c r="M138" s="8" t="n">
        <f aca="false">PI()*L138^2/40000</f>
        <v>0.00350936649517629</v>
      </c>
      <c r="N138" s="7" t="n">
        <f aca="false">F138*$Q$3</f>
        <v>8</v>
      </c>
      <c r="O138" s="3"/>
      <c r="P138" s="3"/>
      <c r="Q138" s="3"/>
    </row>
    <row r="139" customFormat="false" ht="15" hidden="false" customHeight="false" outlineLevel="0" collapsed="false">
      <c r="A139" s="2" t="s">
        <v>32</v>
      </c>
      <c r="B139" s="2" t="n">
        <v>2</v>
      </c>
      <c r="C139" s="2" t="n">
        <v>88</v>
      </c>
      <c r="D139" s="2" t="n">
        <v>2</v>
      </c>
      <c r="E139" s="2" t="n">
        <v>240</v>
      </c>
      <c r="F139" s="2" t="n">
        <v>80</v>
      </c>
      <c r="G139" s="2" t="s">
        <v>37</v>
      </c>
      <c r="H139" s="6" t="str">
        <f aca="false">A139&amp;"_"&amp;B139</f>
        <v>chauas_2</v>
      </c>
      <c r="I139" s="6" t="str">
        <f aca="false">H139&amp;"_"&amp;C139&amp;"_"&amp;G139</f>
        <v>chauas_2_88_Tabebuia cassinoides</v>
      </c>
      <c r="J139" s="6" t="n">
        <f aca="false">IF(COUNTIF($I$2:I139,I139)=1,1,0)</f>
        <v>0</v>
      </c>
      <c r="K139" s="6" t="n">
        <f aca="false">E139*$Q$2</f>
        <v>24</v>
      </c>
      <c r="L139" s="7" t="n">
        <f aca="false">K139/PI()</f>
        <v>7.63943726841098</v>
      </c>
      <c r="M139" s="8" t="n">
        <f aca="false">PI()*L139^2/40000</f>
        <v>0.00458366236104659</v>
      </c>
      <c r="N139" s="7" t="n">
        <f aca="false">F139*$Q$3</f>
        <v>8</v>
      </c>
      <c r="O139" s="3"/>
      <c r="P139" s="3"/>
      <c r="Q139" s="3"/>
    </row>
    <row r="140" customFormat="false" ht="15" hidden="false" customHeight="false" outlineLevel="0" collapsed="false">
      <c r="A140" s="2" t="s">
        <v>32</v>
      </c>
      <c r="B140" s="2" t="n">
        <v>2</v>
      </c>
      <c r="C140" s="2" t="n">
        <v>89</v>
      </c>
      <c r="D140" s="2" t="n">
        <v>1</v>
      </c>
      <c r="E140" s="2" t="n">
        <v>190</v>
      </c>
      <c r="F140" s="2" t="n">
        <v>60</v>
      </c>
      <c r="G140" s="2" t="s">
        <v>37</v>
      </c>
      <c r="H140" s="6" t="str">
        <f aca="false">A140&amp;"_"&amp;B140</f>
        <v>chauas_2</v>
      </c>
      <c r="I140" s="6" t="str">
        <f aca="false">H140&amp;"_"&amp;C140&amp;"_"&amp;G140</f>
        <v>chauas_2_89_Tabebuia cassinoides</v>
      </c>
      <c r="J140" s="6" t="n">
        <f aca="false">IF(COUNTIF($I$2:I140,I140)=1,1,0)</f>
        <v>1</v>
      </c>
      <c r="K140" s="6" t="n">
        <f aca="false">E140*$Q$2</f>
        <v>19</v>
      </c>
      <c r="L140" s="7" t="n">
        <f aca="false">K140/PI()</f>
        <v>6.04788783749202</v>
      </c>
      <c r="M140" s="8" t="n">
        <f aca="false">PI()*L140^2/40000</f>
        <v>0.00287274672280871</v>
      </c>
      <c r="N140" s="7" t="n">
        <f aca="false">F140*$Q$3</f>
        <v>6</v>
      </c>
      <c r="O140" s="3"/>
      <c r="P140" s="3"/>
      <c r="Q140" s="3"/>
    </row>
    <row r="141" customFormat="false" ht="15" hidden="false" customHeight="false" outlineLevel="0" collapsed="false">
      <c r="A141" s="2" t="s">
        <v>32</v>
      </c>
      <c r="B141" s="2" t="n">
        <v>2</v>
      </c>
      <c r="C141" s="2" t="n">
        <v>89</v>
      </c>
      <c r="D141" s="2" t="n">
        <v>1</v>
      </c>
      <c r="E141" s="2" t="n">
        <v>270</v>
      </c>
      <c r="F141" s="2" t="n">
        <v>60</v>
      </c>
      <c r="G141" s="2" t="s">
        <v>37</v>
      </c>
      <c r="H141" s="6" t="str">
        <f aca="false">A141&amp;"_"&amp;B141</f>
        <v>chauas_2</v>
      </c>
      <c r="I141" s="6" t="str">
        <f aca="false">H141&amp;"_"&amp;C141&amp;"_"&amp;G141</f>
        <v>chauas_2_89_Tabebuia cassinoides</v>
      </c>
      <c r="J141" s="6" t="n">
        <f aca="false">IF(COUNTIF($I$2:I141,I141)=1,1,0)</f>
        <v>0</v>
      </c>
      <c r="K141" s="6" t="n">
        <f aca="false">E141*$Q$2</f>
        <v>27</v>
      </c>
      <c r="L141" s="7" t="n">
        <f aca="false">K141/PI()</f>
        <v>8.59436692696235</v>
      </c>
      <c r="M141" s="8" t="n">
        <f aca="false">PI()*L141^2/40000</f>
        <v>0.00580119767569958</v>
      </c>
      <c r="N141" s="7" t="n">
        <f aca="false">F141*$Q$3</f>
        <v>6</v>
      </c>
      <c r="O141" s="3"/>
      <c r="P141" s="3"/>
      <c r="Q141" s="3"/>
    </row>
    <row r="142" customFormat="false" ht="15" hidden="false" customHeight="false" outlineLevel="0" collapsed="false">
      <c r="A142" s="2" t="s">
        <v>32</v>
      </c>
      <c r="B142" s="2" t="n">
        <v>2</v>
      </c>
      <c r="C142" s="2" t="n">
        <v>90</v>
      </c>
      <c r="D142" s="2" t="n">
        <v>1</v>
      </c>
      <c r="E142" s="2" t="n">
        <v>320</v>
      </c>
      <c r="F142" s="2" t="n">
        <v>100</v>
      </c>
      <c r="G142" s="2" t="s">
        <v>37</v>
      </c>
      <c r="H142" s="6" t="str">
        <f aca="false">A142&amp;"_"&amp;B142</f>
        <v>chauas_2</v>
      </c>
      <c r="I142" s="6" t="str">
        <f aca="false">H142&amp;"_"&amp;C142&amp;"_"&amp;G142</f>
        <v>chauas_2_90_Tabebuia cassinoides</v>
      </c>
      <c r="J142" s="6" t="n">
        <f aca="false">IF(COUNTIF($I$2:I142,I142)=1,1,0)</f>
        <v>1</v>
      </c>
      <c r="K142" s="6" t="n">
        <f aca="false">E142*$Q$2</f>
        <v>32</v>
      </c>
      <c r="L142" s="7" t="n">
        <f aca="false">K142/PI()</f>
        <v>10.1859163578813</v>
      </c>
      <c r="M142" s="8" t="n">
        <f aca="false">PI()*L142^2/40000</f>
        <v>0.00814873308630504</v>
      </c>
      <c r="N142" s="7" t="n">
        <f aca="false">F142*$Q$3</f>
        <v>10</v>
      </c>
      <c r="O142" s="3"/>
      <c r="P142" s="3"/>
      <c r="Q142" s="3"/>
    </row>
    <row r="143" customFormat="false" ht="15" hidden="false" customHeight="false" outlineLevel="0" collapsed="false">
      <c r="A143" s="2" t="s">
        <v>32</v>
      </c>
      <c r="B143" s="2" t="n">
        <v>2</v>
      </c>
      <c r="C143" s="2" t="n">
        <v>90</v>
      </c>
      <c r="D143" s="2" t="n">
        <v>2</v>
      </c>
      <c r="E143" s="2" t="n">
        <v>160</v>
      </c>
      <c r="F143" s="2" t="n">
        <v>100</v>
      </c>
      <c r="G143" s="2" t="s">
        <v>37</v>
      </c>
      <c r="H143" s="6" t="str">
        <f aca="false">A143&amp;"_"&amp;B143</f>
        <v>chauas_2</v>
      </c>
      <c r="I143" s="6" t="str">
        <f aca="false">H143&amp;"_"&amp;C143&amp;"_"&amp;G143</f>
        <v>chauas_2_90_Tabebuia cassinoides</v>
      </c>
      <c r="J143" s="6" t="n">
        <f aca="false">IF(COUNTIF($I$2:I143,I143)=1,1,0)</f>
        <v>0</v>
      </c>
      <c r="K143" s="6" t="n">
        <f aca="false">E143*$Q$2</f>
        <v>16</v>
      </c>
      <c r="L143" s="7" t="n">
        <f aca="false">K143/PI()</f>
        <v>5.09295817894065</v>
      </c>
      <c r="M143" s="8" t="n">
        <f aca="false">PI()*L143^2/40000</f>
        <v>0.00203718327157626</v>
      </c>
      <c r="N143" s="7" t="n">
        <f aca="false">F143*$Q$3</f>
        <v>10</v>
      </c>
      <c r="O143" s="3"/>
      <c r="P143" s="3"/>
      <c r="Q143" s="3"/>
    </row>
    <row r="144" customFormat="false" ht="15" hidden="false" customHeight="false" outlineLevel="0" collapsed="false">
      <c r="A144" s="2" t="s">
        <v>32</v>
      </c>
      <c r="B144" s="2" t="n">
        <v>2</v>
      </c>
      <c r="C144" s="2" t="n">
        <v>90</v>
      </c>
      <c r="D144" s="2" t="n">
        <v>3</v>
      </c>
      <c r="E144" s="2" t="n">
        <v>180</v>
      </c>
      <c r="F144" s="2" t="n">
        <v>100</v>
      </c>
      <c r="G144" s="2" t="s">
        <v>37</v>
      </c>
      <c r="H144" s="6" t="str">
        <f aca="false">A144&amp;"_"&amp;B144</f>
        <v>chauas_2</v>
      </c>
      <c r="I144" s="6" t="str">
        <f aca="false">H144&amp;"_"&amp;C144&amp;"_"&amp;G144</f>
        <v>chauas_2_90_Tabebuia cassinoides</v>
      </c>
      <c r="J144" s="6" t="n">
        <f aca="false">IF(COUNTIF($I$2:I144,I144)=1,1,0)</f>
        <v>0</v>
      </c>
      <c r="K144" s="6" t="n">
        <f aca="false">E144*$Q$2</f>
        <v>18</v>
      </c>
      <c r="L144" s="7" t="n">
        <f aca="false">K144/PI()</f>
        <v>5.72957795130823</v>
      </c>
      <c r="M144" s="8" t="n">
        <f aca="false">PI()*L144^2/40000</f>
        <v>0.0025783100780887</v>
      </c>
      <c r="N144" s="7" t="n">
        <f aca="false">F144*$Q$3</f>
        <v>10</v>
      </c>
      <c r="O144" s="3"/>
      <c r="P144" s="3"/>
      <c r="Q144" s="3"/>
    </row>
    <row r="145" customFormat="false" ht="15" hidden="false" customHeight="false" outlineLevel="0" collapsed="false">
      <c r="A145" s="2" t="s">
        <v>32</v>
      </c>
      <c r="B145" s="2" t="n">
        <v>2</v>
      </c>
      <c r="C145" s="2" t="n">
        <v>91</v>
      </c>
      <c r="D145" s="2" t="n">
        <v>1</v>
      </c>
      <c r="E145" s="2" t="n">
        <v>170</v>
      </c>
      <c r="F145" s="2" t="n">
        <v>100</v>
      </c>
      <c r="G145" s="2" t="s">
        <v>33</v>
      </c>
      <c r="H145" s="6" t="str">
        <f aca="false">A145&amp;"_"&amp;B145</f>
        <v>chauas_2</v>
      </c>
      <c r="I145" s="6" t="str">
        <f aca="false">H145&amp;"_"&amp;C145&amp;"_"&amp;G145</f>
        <v>chauas_2_91_Myrcia sulfiflora</v>
      </c>
      <c r="J145" s="6" t="n">
        <f aca="false">IF(COUNTIF($I$2:I145,I145)=1,1,0)</f>
        <v>1</v>
      </c>
      <c r="K145" s="6" t="n">
        <f aca="false">E145*$Q$2</f>
        <v>17</v>
      </c>
      <c r="L145" s="7" t="n">
        <f aca="false">K145/PI()</f>
        <v>5.41126806512444</v>
      </c>
      <c r="M145" s="8" t="n">
        <f aca="false">PI()*L145^2/40000</f>
        <v>0.00229978892767789</v>
      </c>
      <c r="N145" s="7" t="n">
        <f aca="false">F145*$Q$3</f>
        <v>10</v>
      </c>
      <c r="O145" s="3"/>
      <c r="P145" s="3"/>
      <c r="Q145" s="3"/>
    </row>
    <row r="146" customFormat="false" ht="15" hidden="false" customHeight="false" outlineLevel="0" collapsed="false">
      <c r="A146" s="2" t="s">
        <v>32</v>
      </c>
      <c r="B146" s="2" t="n">
        <v>2</v>
      </c>
      <c r="C146" s="2" t="n">
        <v>92</v>
      </c>
      <c r="D146" s="2" t="n">
        <v>1</v>
      </c>
      <c r="E146" s="2" t="n">
        <v>160</v>
      </c>
      <c r="F146" s="2" t="n">
        <v>50</v>
      </c>
      <c r="G146" s="2" t="s">
        <v>37</v>
      </c>
      <c r="H146" s="6" t="str">
        <f aca="false">A146&amp;"_"&amp;B146</f>
        <v>chauas_2</v>
      </c>
      <c r="I146" s="6" t="str">
        <f aca="false">H146&amp;"_"&amp;C146&amp;"_"&amp;G146</f>
        <v>chauas_2_92_Tabebuia cassinoides</v>
      </c>
      <c r="J146" s="6" t="n">
        <f aca="false">IF(COUNTIF($I$2:I146,I146)=1,1,0)</f>
        <v>1</v>
      </c>
      <c r="K146" s="6" t="n">
        <f aca="false">E146*$Q$2</f>
        <v>16</v>
      </c>
      <c r="L146" s="7" t="n">
        <f aca="false">K146/PI()</f>
        <v>5.09295817894065</v>
      </c>
      <c r="M146" s="8" t="n">
        <f aca="false">PI()*L146^2/40000</f>
        <v>0.00203718327157626</v>
      </c>
      <c r="N146" s="7" t="n">
        <f aca="false">F146*$Q$3</f>
        <v>5</v>
      </c>
      <c r="O146" s="3"/>
      <c r="P146" s="3"/>
      <c r="Q146" s="3"/>
    </row>
    <row r="147" customFormat="false" ht="15" hidden="false" customHeight="false" outlineLevel="0" collapsed="false">
      <c r="A147" s="2" t="s">
        <v>32</v>
      </c>
      <c r="B147" s="2" t="n">
        <v>2</v>
      </c>
      <c r="C147" s="2" t="n">
        <v>92</v>
      </c>
      <c r="D147" s="2" t="n">
        <v>2</v>
      </c>
      <c r="E147" s="2" t="n">
        <v>180</v>
      </c>
      <c r="F147" s="2" t="n">
        <v>50</v>
      </c>
      <c r="G147" s="2" t="s">
        <v>37</v>
      </c>
      <c r="H147" s="6" t="str">
        <f aca="false">A147&amp;"_"&amp;B147</f>
        <v>chauas_2</v>
      </c>
      <c r="I147" s="6" t="str">
        <f aca="false">H147&amp;"_"&amp;C147&amp;"_"&amp;G147</f>
        <v>chauas_2_92_Tabebuia cassinoides</v>
      </c>
      <c r="J147" s="6" t="n">
        <f aca="false">IF(COUNTIF($I$2:I147,I147)=1,1,0)</f>
        <v>0</v>
      </c>
      <c r="K147" s="6" t="n">
        <f aca="false">E147*$Q$2</f>
        <v>18</v>
      </c>
      <c r="L147" s="7" t="n">
        <f aca="false">K147/PI()</f>
        <v>5.72957795130823</v>
      </c>
      <c r="M147" s="8" t="n">
        <f aca="false">PI()*L147^2/40000</f>
        <v>0.0025783100780887</v>
      </c>
      <c r="N147" s="7" t="n">
        <f aca="false">F147*$Q$3</f>
        <v>5</v>
      </c>
      <c r="O147" s="3"/>
      <c r="P147" s="3"/>
      <c r="Q147" s="3"/>
    </row>
    <row r="148" customFormat="false" ht="15" hidden="false" customHeight="false" outlineLevel="0" collapsed="false">
      <c r="A148" s="2" t="s">
        <v>32</v>
      </c>
      <c r="B148" s="2" t="n">
        <v>2</v>
      </c>
      <c r="C148" s="2" t="n">
        <v>92</v>
      </c>
      <c r="D148" s="2" t="n">
        <v>3</v>
      </c>
      <c r="E148" s="2" t="n">
        <v>150</v>
      </c>
      <c r="F148" s="2" t="n">
        <v>50</v>
      </c>
      <c r="G148" s="2" t="s">
        <v>37</v>
      </c>
      <c r="H148" s="6" t="str">
        <f aca="false">A148&amp;"_"&amp;B148</f>
        <v>chauas_2</v>
      </c>
      <c r="I148" s="6" t="str">
        <f aca="false">H148&amp;"_"&amp;C148&amp;"_"&amp;G148</f>
        <v>chauas_2_92_Tabebuia cassinoides</v>
      </c>
      <c r="J148" s="6" t="n">
        <f aca="false">IF(COUNTIF($I$2:I148,I148)=1,1,0)</f>
        <v>0</v>
      </c>
      <c r="K148" s="6" t="n">
        <f aca="false">E148*$Q$2</f>
        <v>15</v>
      </c>
      <c r="L148" s="7" t="n">
        <f aca="false">K148/PI()</f>
        <v>4.77464829275686</v>
      </c>
      <c r="M148" s="8" t="n">
        <f aca="false">PI()*L148^2/40000</f>
        <v>0.00179049310978382</v>
      </c>
      <c r="N148" s="7" t="n">
        <f aca="false">F148*$Q$3</f>
        <v>5</v>
      </c>
      <c r="O148" s="3"/>
      <c r="P148" s="3"/>
      <c r="Q148" s="3"/>
    </row>
    <row r="149" customFormat="false" ht="15" hidden="false" customHeight="false" outlineLevel="0" collapsed="false">
      <c r="A149" s="2" t="s">
        <v>32</v>
      </c>
      <c r="B149" s="2" t="n">
        <v>2</v>
      </c>
      <c r="C149" s="2" t="n">
        <v>93</v>
      </c>
      <c r="D149" s="2" t="n">
        <v>1</v>
      </c>
      <c r="E149" s="2" t="n">
        <v>220</v>
      </c>
      <c r="F149" s="2" t="n">
        <v>70</v>
      </c>
      <c r="G149" s="2" t="s">
        <v>33</v>
      </c>
      <c r="H149" s="6" t="str">
        <f aca="false">A149&amp;"_"&amp;B149</f>
        <v>chauas_2</v>
      </c>
      <c r="I149" s="6" t="str">
        <f aca="false">H149&amp;"_"&amp;C149&amp;"_"&amp;G149</f>
        <v>chauas_2_93_Myrcia sulfiflora</v>
      </c>
      <c r="J149" s="6" t="n">
        <f aca="false">IF(COUNTIF($I$2:I149,I149)=1,1,0)</f>
        <v>1</v>
      </c>
      <c r="K149" s="6" t="n">
        <f aca="false">E149*$Q$2</f>
        <v>22</v>
      </c>
      <c r="L149" s="7" t="n">
        <f aca="false">K149/PI()</f>
        <v>7.0028174960434</v>
      </c>
      <c r="M149" s="8" t="n">
        <f aca="false">PI()*L149^2/40000</f>
        <v>0.00385154962282387</v>
      </c>
      <c r="N149" s="7" t="n">
        <f aca="false">F149*$Q$3</f>
        <v>7</v>
      </c>
      <c r="O149" s="3"/>
      <c r="P149" s="3"/>
      <c r="Q149" s="3"/>
    </row>
    <row r="150" customFormat="false" ht="15" hidden="false" customHeight="false" outlineLevel="0" collapsed="false">
      <c r="A150" s="2" t="s">
        <v>32</v>
      </c>
      <c r="B150" s="2" t="n">
        <v>2</v>
      </c>
      <c r="C150" s="2" t="n">
        <v>94</v>
      </c>
      <c r="D150" s="2" t="n">
        <v>1</v>
      </c>
      <c r="E150" s="2" t="n">
        <v>520</v>
      </c>
      <c r="F150" s="2" t="n">
        <v>110</v>
      </c>
      <c r="G150" s="2" t="s">
        <v>37</v>
      </c>
      <c r="H150" s="6" t="str">
        <f aca="false">A150&amp;"_"&amp;B150</f>
        <v>chauas_2</v>
      </c>
      <c r="I150" s="6" t="str">
        <f aca="false">H150&amp;"_"&amp;C150&amp;"_"&amp;G150</f>
        <v>chauas_2_94_Tabebuia cassinoides</v>
      </c>
      <c r="J150" s="6" t="n">
        <f aca="false">IF(COUNTIF($I$2:I150,I150)=1,1,0)</f>
        <v>1</v>
      </c>
      <c r="K150" s="6" t="n">
        <f aca="false">E150*$Q$2</f>
        <v>52</v>
      </c>
      <c r="L150" s="7" t="n">
        <f aca="false">K150/PI()</f>
        <v>16.5521140815571</v>
      </c>
      <c r="M150" s="8" t="n">
        <f aca="false">PI()*L150^2/40000</f>
        <v>0.0215177483060242</v>
      </c>
      <c r="N150" s="7" t="n">
        <f aca="false">F150*$Q$3</f>
        <v>11</v>
      </c>
      <c r="O150" s="3"/>
      <c r="P150" s="3"/>
      <c r="Q150" s="3"/>
    </row>
    <row r="151" customFormat="false" ht="15" hidden="false" customHeight="false" outlineLevel="0" collapsed="false">
      <c r="A151" s="2" t="s">
        <v>32</v>
      </c>
      <c r="B151" s="2" t="n">
        <v>2</v>
      </c>
      <c r="C151" s="2" t="n">
        <v>94</v>
      </c>
      <c r="D151" s="2" t="n">
        <v>1</v>
      </c>
      <c r="E151" s="2" t="n">
        <v>420</v>
      </c>
      <c r="F151" s="2" t="n">
        <v>110</v>
      </c>
      <c r="G151" s="2" t="s">
        <v>37</v>
      </c>
      <c r="H151" s="6" t="str">
        <f aca="false">A151&amp;"_"&amp;B151</f>
        <v>chauas_2</v>
      </c>
      <c r="I151" s="6" t="str">
        <f aca="false">H151&amp;"_"&amp;C151&amp;"_"&amp;G151</f>
        <v>chauas_2_94_Tabebuia cassinoides</v>
      </c>
      <c r="J151" s="6" t="n">
        <f aca="false">IF(COUNTIF($I$2:I151,I151)=1,1,0)</f>
        <v>0</v>
      </c>
      <c r="K151" s="6" t="n">
        <f aca="false">E151*$Q$2</f>
        <v>42</v>
      </c>
      <c r="L151" s="7" t="n">
        <f aca="false">K151/PI()</f>
        <v>13.3690152197192</v>
      </c>
      <c r="M151" s="8" t="n">
        <f aca="false">PI()*L151^2/40000</f>
        <v>0.0140374659807052</v>
      </c>
      <c r="N151" s="7" t="n">
        <f aca="false">F151*$Q$3</f>
        <v>11</v>
      </c>
      <c r="O151" s="3"/>
      <c r="P151" s="3"/>
      <c r="Q151" s="3"/>
    </row>
    <row r="152" customFormat="false" ht="15" hidden="false" customHeight="false" outlineLevel="0" collapsed="false">
      <c r="A152" s="2" t="s">
        <v>32</v>
      </c>
      <c r="B152" s="2" t="n">
        <v>2</v>
      </c>
      <c r="C152" s="2" t="n">
        <v>95</v>
      </c>
      <c r="D152" s="2" t="n">
        <v>1</v>
      </c>
      <c r="E152" s="2" t="n">
        <v>240</v>
      </c>
      <c r="F152" s="2" t="n">
        <v>100</v>
      </c>
      <c r="G152" s="2" t="s">
        <v>33</v>
      </c>
      <c r="H152" s="6" t="str">
        <f aca="false">A152&amp;"_"&amp;B152</f>
        <v>chauas_2</v>
      </c>
      <c r="I152" s="6" t="str">
        <f aca="false">H152&amp;"_"&amp;C152&amp;"_"&amp;G152</f>
        <v>chauas_2_95_Myrcia sulfiflora</v>
      </c>
      <c r="J152" s="6" t="n">
        <f aca="false">IF(COUNTIF($I$2:I152,I152)=1,1,0)</f>
        <v>1</v>
      </c>
      <c r="K152" s="6" t="n">
        <f aca="false">E152*$Q$2</f>
        <v>24</v>
      </c>
      <c r="L152" s="7" t="n">
        <f aca="false">K152/PI()</f>
        <v>7.63943726841098</v>
      </c>
      <c r="M152" s="8" t="n">
        <f aca="false">PI()*L152^2/40000</f>
        <v>0.00458366236104659</v>
      </c>
      <c r="N152" s="7" t="n">
        <f aca="false">F152*$Q$3</f>
        <v>10</v>
      </c>
      <c r="O152" s="3"/>
      <c r="P152" s="3"/>
      <c r="Q152" s="3"/>
    </row>
    <row r="153" customFormat="false" ht="15" hidden="false" customHeight="false" outlineLevel="0" collapsed="false">
      <c r="A153" s="2" t="s">
        <v>32</v>
      </c>
      <c r="B153" s="2" t="n">
        <v>2</v>
      </c>
      <c r="C153" s="2" t="n">
        <v>95</v>
      </c>
      <c r="D153" s="2" t="n">
        <v>2</v>
      </c>
      <c r="E153" s="2" t="n">
        <v>200</v>
      </c>
      <c r="F153" s="2" t="n">
        <v>100</v>
      </c>
      <c r="G153" s="2" t="s">
        <v>33</v>
      </c>
      <c r="H153" s="6" t="str">
        <f aca="false">A153&amp;"_"&amp;B153</f>
        <v>chauas_2</v>
      </c>
      <c r="I153" s="6" t="str">
        <f aca="false">H153&amp;"_"&amp;C153&amp;"_"&amp;G153</f>
        <v>chauas_2_95_Myrcia sulfiflora</v>
      </c>
      <c r="J153" s="6" t="n">
        <f aca="false">IF(COUNTIF($I$2:I153,I153)=1,1,0)</f>
        <v>0</v>
      </c>
      <c r="K153" s="6" t="n">
        <f aca="false">E153*$Q$2</f>
        <v>20</v>
      </c>
      <c r="L153" s="7" t="n">
        <f aca="false">K153/PI()</f>
        <v>6.36619772367581</v>
      </c>
      <c r="M153" s="8" t="n">
        <f aca="false">PI()*L153^2/40000</f>
        <v>0.00318309886183791</v>
      </c>
      <c r="N153" s="7" t="n">
        <f aca="false">F153*$Q$3</f>
        <v>10</v>
      </c>
      <c r="O153" s="3"/>
      <c r="P153" s="3"/>
      <c r="Q153" s="3"/>
    </row>
    <row r="154" customFormat="false" ht="15" hidden="false" customHeight="false" outlineLevel="0" collapsed="false">
      <c r="A154" s="2" t="s">
        <v>32</v>
      </c>
      <c r="B154" s="2" t="n">
        <v>2</v>
      </c>
      <c r="C154" s="2" t="n">
        <v>96</v>
      </c>
      <c r="D154" s="2" t="n">
        <v>1</v>
      </c>
      <c r="E154" s="2" t="n">
        <v>250</v>
      </c>
      <c r="F154" s="2" t="n">
        <v>110</v>
      </c>
      <c r="G154" s="2" t="s">
        <v>33</v>
      </c>
      <c r="H154" s="6" t="str">
        <f aca="false">A154&amp;"_"&amp;B154</f>
        <v>chauas_2</v>
      </c>
      <c r="I154" s="6" t="str">
        <f aca="false">H154&amp;"_"&amp;C154&amp;"_"&amp;G154</f>
        <v>chauas_2_96_Myrcia sulfiflora</v>
      </c>
      <c r="J154" s="6" t="n">
        <f aca="false">IF(COUNTIF($I$2:I154,I154)=1,1,0)</f>
        <v>1</v>
      </c>
      <c r="K154" s="6" t="n">
        <f aca="false">E154*$Q$2</f>
        <v>25</v>
      </c>
      <c r="L154" s="7" t="n">
        <f aca="false">K154/PI()</f>
        <v>7.95774715459477</v>
      </c>
      <c r="M154" s="8" t="n">
        <f aca="false">PI()*L154^2/40000</f>
        <v>0.00497359197162173</v>
      </c>
      <c r="N154" s="7" t="n">
        <f aca="false">F154*$Q$3</f>
        <v>11</v>
      </c>
      <c r="O154" s="3"/>
      <c r="P154" s="3"/>
      <c r="Q154" s="3"/>
    </row>
    <row r="155" customFormat="false" ht="15" hidden="false" customHeight="false" outlineLevel="0" collapsed="false">
      <c r="A155" s="2" t="s">
        <v>32</v>
      </c>
      <c r="B155" s="2" t="n">
        <v>2</v>
      </c>
      <c r="C155" s="2" t="n">
        <v>96</v>
      </c>
      <c r="D155" s="2" t="n">
        <v>2</v>
      </c>
      <c r="E155" s="2" t="n">
        <v>280</v>
      </c>
      <c r="F155" s="2" t="n">
        <v>110</v>
      </c>
      <c r="G155" s="2" t="s">
        <v>33</v>
      </c>
      <c r="H155" s="6" t="str">
        <f aca="false">A155&amp;"_"&amp;B155</f>
        <v>chauas_2</v>
      </c>
      <c r="I155" s="6" t="str">
        <f aca="false">H155&amp;"_"&amp;C155&amp;"_"&amp;G155</f>
        <v>chauas_2_96_Myrcia sulfiflora</v>
      </c>
      <c r="J155" s="6" t="n">
        <f aca="false">IF(COUNTIF($I$2:I155,I155)=1,1,0)</f>
        <v>0</v>
      </c>
      <c r="K155" s="6" t="n">
        <f aca="false">E155*$Q$2</f>
        <v>28</v>
      </c>
      <c r="L155" s="7" t="n">
        <f aca="false">K155/PI()</f>
        <v>8.91267681314614</v>
      </c>
      <c r="M155" s="8" t="n">
        <f aca="false">PI()*L155^2/40000</f>
        <v>0.0062388737692023</v>
      </c>
      <c r="N155" s="7" t="n">
        <f aca="false">F155*$Q$3</f>
        <v>11</v>
      </c>
      <c r="O155" s="3"/>
      <c r="P155" s="3"/>
      <c r="Q155" s="3"/>
    </row>
    <row r="156" customFormat="false" ht="15" hidden="false" customHeight="false" outlineLevel="0" collapsed="false">
      <c r="A156" s="2" t="s">
        <v>32</v>
      </c>
      <c r="B156" s="2" t="n">
        <v>2</v>
      </c>
      <c r="C156" s="2" t="n">
        <v>96</v>
      </c>
      <c r="D156" s="2" t="n">
        <v>3</v>
      </c>
      <c r="E156" s="2" t="n">
        <v>220</v>
      </c>
      <c r="F156" s="2" t="n">
        <v>110</v>
      </c>
      <c r="G156" s="2" t="s">
        <v>33</v>
      </c>
      <c r="H156" s="6" t="str">
        <f aca="false">A156&amp;"_"&amp;B156</f>
        <v>chauas_2</v>
      </c>
      <c r="I156" s="6" t="str">
        <f aca="false">H156&amp;"_"&amp;C156&amp;"_"&amp;G156</f>
        <v>chauas_2_96_Myrcia sulfiflora</v>
      </c>
      <c r="J156" s="6" t="n">
        <f aca="false">IF(COUNTIF($I$2:I156,I156)=1,1,0)</f>
        <v>0</v>
      </c>
      <c r="K156" s="6" t="n">
        <f aca="false">E156*$Q$2</f>
        <v>22</v>
      </c>
      <c r="L156" s="7" t="n">
        <f aca="false">K156/PI()</f>
        <v>7.0028174960434</v>
      </c>
      <c r="M156" s="8" t="n">
        <f aca="false">PI()*L156^2/40000</f>
        <v>0.00385154962282387</v>
      </c>
      <c r="N156" s="7" t="n">
        <f aca="false">F156*$Q$3</f>
        <v>11</v>
      </c>
      <c r="O156" s="3"/>
      <c r="P156" s="3"/>
      <c r="Q156" s="3"/>
    </row>
    <row r="157" customFormat="false" ht="15" hidden="false" customHeight="false" outlineLevel="0" collapsed="false">
      <c r="A157" s="2" t="s">
        <v>32</v>
      </c>
      <c r="B157" s="2" t="n">
        <v>2</v>
      </c>
      <c r="C157" s="2" t="n">
        <v>96</v>
      </c>
      <c r="D157" s="2" t="n">
        <v>4</v>
      </c>
      <c r="E157" s="2" t="n">
        <v>200</v>
      </c>
      <c r="F157" s="2" t="n">
        <v>110</v>
      </c>
      <c r="G157" s="2" t="s">
        <v>33</v>
      </c>
      <c r="H157" s="6" t="str">
        <f aca="false">A157&amp;"_"&amp;B157</f>
        <v>chauas_2</v>
      </c>
      <c r="I157" s="6" t="str">
        <f aca="false">H157&amp;"_"&amp;C157&amp;"_"&amp;G157</f>
        <v>chauas_2_96_Myrcia sulfiflora</v>
      </c>
      <c r="J157" s="6" t="n">
        <f aca="false">IF(COUNTIF($I$2:I157,I157)=1,1,0)</f>
        <v>0</v>
      </c>
      <c r="K157" s="6" t="n">
        <f aca="false">E157*$Q$2</f>
        <v>20</v>
      </c>
      <c r="L157" s="7" t="n">
        <f aca="false">K157/PI()</f>
        <v>6.36619772367581</v>
      </c>
      <c r="M157" s="8" t="n">
        <f aca="false">PI()*L157^2/40000</f>
        <v>0.00318309886183791</v>
      </c>
      <c r="N157" s="7" t="n">
        <f aca="false">F157*$Q$3</f>
        <v>11</v>
      </c>
      <c r="O157" s="3"/>
      <c r="P157" s="3"/>
      <c r="Q157" s="3"/>
    </row>
    <row r="158" customFormat="false" ht="15" hidden="false" customHeight="false" outlineLevel="0" collapsed="false">
      <c r="A158" s="2" t="s">
        <v>32</v>
      </c>
      <c r="B158" s="2" t="n">
        <v>2</v>
      </c>
      <c r="C158" s="2" t="n">
        <v>97</v>
      </c>
      <c r="D158" s="2" t="n">
        <v>1</v>
      </c>
      <c r="E158" s="2" t="n">
        <v>230</v>
      </c>
      <c r="F158" s="2" t="n">
        <v>40</v>
      </c>
      <c r="G158" s="2" t="s">
        <v>37</v>
      </c>
      <c r="H158" s="6" t="str">
        <f aca="false">A158&amp;"_"&amp;B158</f>
        <v>chauas_2</v>
      </c>
      <c r="I158" s="6" t="str">
        <f aca="false">H158&amp;"_"&amp;C158&amp;"_"&amp;G158</f>
        <v>chauas_2_97_Tabebuia cassinoides</v>
      </c>
      <c r="J158" s="6" t="n">
        <f aca="false">IF(COUNTIF($I$2:I158,I158)=1,1,0)</f>
        <v>1</v>
      </c>
      <c r="K158" s="6" t="n">
        <f aca="false">E158*$Q$2</f>
        <v>23</v>
      </c>
      <c r="L158" s="7" t="n">
        <f aca="false">K158/PI()</f>
        <v>7.32112738222719</v>
      </c>
      <c r="M158" s="8" t="n">
        <f aca="false">PI()*L158^2/40000</f>
        <v>0.00420964824478063</v>
      </c>
      <c r="N158" s="7" t="n">
        <f aca="false">F158*$Q$3</f>
        <v>4</v>
      </c>
      <c r="O158" s="3"/>
      <c r="P158" s="3"/>
      <c r="Q158" s="3"/>
    </row>
    <row r="159" customFormat="false" ht="15" hidden="false" customHeight="false" outlineLevel="0" collapsed="false">
      <c r="A159" s="2" t="s">
        <v>32</v>
      </c>
      <c r="B159" s="2" t="n">
        <v>2</v>
      </c>
      <c r="C159" s="2" t="n">
        <v>98</v>
      </c>
      <c r="D159" s="2" t="n">
        <v>1</v>
      </c>
      <c r="E159" s="2" t="n">
        <v>170</v>
      </c>
      <c r="F159" s="2" t="n">
        <v>50</v>
      </c>
      <c r="G159" s="2" t="s">
        <v>33</v>
      </c>
      <c r="H159" s="6" t="str">
        <f aca="false">A159&amp;"_"&amp;B159</f>
        <v>chauas_2</v>
      </c>
      <c r="I159" s="6" t="str">
        <f aca="false">H159&amp;"_"&amp;C159&amp;"_"&amp;G159</f>
        <v>chauas_2_98_Myrcia sulfiflora</v>
      </c>
      <c r="J159" s="6" t="n">
        <f aca="false">IF(COUNTIF($I$2:I159,I159)=1,1,0)</f>
        <v>1</v>
      </c>
      <c r="K159" s="6" t="n">
        <f aca="false">E159*$Q$2</f>
        <v>17</v>
      </c>
      <c r="L159" s="7" t="n">
        <f aca="false">K159/PI()</f>
        <v>5.41126806512444</v>
      </c>
      <c r="M159" s="8" t="n">
        <f aca="false">PI()*L159^2/40000</f>
        <v>0.00229978892767789</v>
      </c>
      <c r="N159" s="7" t="n">
        <f aca="false">F159*$Q$3</f>
        <v>5</v>
      </c>
      <c r="O159" s="3"/>
      <c r="P159" s="3"/>
      <c r="Q159" s="3"/>
    </row>
    <row r="160" customFormat="false" ht="15" hidden="false" customHeight="false" outlineLevel="0" collapsed="false">
      <c r="A160" s="2" t="s">
        <v>32</v>
      </c>
      <c r="B160" s="2" t="n">
        <v>2</v>
      </c>
      <c r="C160" s="2" t="n">
        <v>99</v>
      </c>
      <c r="D160" s="2" t="n">
        <v>1</v>
      </c>
      <c r="E160" s="2" t="n">
        <v>270</v>
      </c>
      <c r="F160" s="2" t="n">
        <v>100</v>
      </c>
      <c r="G160" s="2" t="s">
        <v>37</v>
      </c>
      <c r="H160" s="6" t="str">
        <f aca="false">A160&amp;"_"&amp;B160</f>
        <v>chauas_2</v>
      </c>
      <c r="I160" s="6" t="str">
        <f aca="false">H160&amp;"_"&amp;C160&amp;"_"&amp;G160</f>
        <v>chauas_2_99_Tabebuia cassinoides</v>
      </c>
      <c r="J160" s="6" t="n">
        <f aca="false">IF(COUNTIF($I$2:I160,I160)=1,1,0)</f>
        <v>1</v>
      </c>
      <c r="K160" s="6" t="n">
        <f aca="false">E160*$Q$2</f>
        <v>27</v>
      </c>
      <c r="L160" s="7" t="n">
        <f aca="false">K160/PI()</f>
        <v>8.59436692696235</v>
      </c>
      <c r="M160" s="8" t="n">
        <f aca="false">PI()*L160^2/40000</f>
        <v>0.00580119767569958</v>
      </c>
      <c r="N160" s="7" t="n">
        <f aca="false">F160*$Q$3</f>
        <v>10</v>
      </c>
      <c r="O160" s="3"/>
      <c r="P160" s="3"/>
      <c r="Q160" s="3"/>
    </row>
    <row r="161" customFormat="false" ht="15" hidden="false" customHeight="false" outlineLevel="0" collapsed="false">
      <c r="A161" s="2" t="s">
        <v>32</v>
      </c>
      <c r="B161" s="2" t="n">
        <v>2</v>
      </c>
      <c r="C161" s="2" t="n">
        <v>99</v>
      </c>
      <c r="D161" s="2" t="n">
        <v>2</v>
      </c>
      <c r="E161" s="2" t="n">
        <v>290</v>
      </c>
      <c r="F161" s="2" t="n">
        <v>100</v>
      </c>
      <c r="G161" s="2" t="s">
        <v>37</v>
      </c>
      <c r="H161" s="6" t="str">
        <f aca="false">A161&amp;"_"&amp;B161</f>
        <v>chauas_2</v>
      </c>
      <c r="I161" s="6" t="str">
        <f aca="false">H161&amp;"_"&amp;C161&amp;"_"&amp;G161</f>
        <v>chauas_2_99_Tabebuia cassinoides</v>
      </c>
      <c r="J161" s="6" t="n">
        <f aca="false">IF(COUNTIF($I$2:I161,I161)=1,1,0)</f>
        <v>0</v>
      </c>
      <c r="K161" s="6" t="n">
        <f aca="false">E161*$Q$2</f>
        <v>29</v>
      </c>
      <c r="L161" s="7" t="n">
        <f aca="false">K161/PI()</f>
        <v>9.23098669932993</v>
      </c>
      <c r="M161" s="8" t="n">
        <f aca="false">PI()*L161^2/40000</f>
        <v>0.0066924653570142</v>
      </c>
      <c r="N161" s="7" t="n">
        <f aca="false">F161*$Q$3</f>
        <v>10</v>
      </c>
      <c r="O161" s="3"/>
      <c r="P161" s="3"/>
      <c r="Q161" s="3"/>
    </row>
    <row r="162" customFormat="false" ht="15" hidden="false" customHeight="false" outlineLevel="0" collapsed="false">
      <c r="A162" s="2" t="s">
        <v>32</v>
      </c>
      <c r="B162" s="2" t="n">
        <v>2</v>
      </c>
      <c r="C162" s="2" t="n">
        <v>100</v>
      </c>
      <c r="D162" s="2" t="n">
        <v>1</v>
      </c>
      <c r="E162" s="2" t="n">
        <v>200</v>
      </c>
      <c r="F162" s="2" t="n">
        <v>50</v>
      </c>
      <c r="G162" s="2" t="s">
        <v>33</v>
      </c>
      <c r="H162" s="6" t="str">
        <f aca="false">A162&amp;"_"&amp;B162</f>
        <v>chauas_2</v>
      </c>
      <c r="I162" s="6" t="str">
        <f aca="false">H162&amp;"_"&amp;C162&amp;"_"&amp;G162</f>
        <v>chauas_2_100_Myrcia sulfiflora</v>
      </c>
      <c r="J162" s="6" t="n">
        <f aca="false">IF(COUNTIF($I$2:I162,I162)=1,1,0)</f>
        <v>1</v>
      </c>
      <c r="K162" s="6" t="n">
        <f aca="false">E162*$Q$2</f>
        <v>20</v>
      </c>
      <c r="L162" s="7" t="n">
        <f aca="false">K162/PI()</f>
        <v>6.36619772367581</v>
      </c>
      <c r="M162" s="8" t="n">
        <f aca="false">PI()*L162^2/40000</f>
        <v>0.00318309886183791</v>
      </c>
      <c r="N162" s="7" t="n">
        <f aca="false">F162*$Q$3</f>
        <v>5</v>
      </c>
      <c r="O162" s="3"/>
      <c r="P162" s="3"/>
      <c r="Q162" s="3"/>
    </row>
    <row r="163" customFormat="false" ht="15" hidden="false" customHeight="false" outlineLevel="0" collapsed="false">
      <c r="A163" s="2" t="s">
        <v>32</v>
      </c>
      <c r="B163" s="2" t="n">
        <v>2</v>
      </c>
      <c r="C163" s="2" t="n">
        <v>100</v>
      </c>
      <c r="D163" s="2" t="n">
        <v>2</v>
      </c>
      <c r="E163" s="2" t="n">
        <v>200</v>
      </c>
      <c r="F163" s="2" t="n">
        <v>50</v>
      </c>
      <c r="G163" s="2" t="s">
        <v>33</v>
      </c>
      <c r="H163" s="6" t="str">
        <f aca="false">A163&amp;"_"&amp;B163</f>
        <v>chauas_2</v>
      </c>
      <c r="I163" s="6" t="str">
        <f aca="false">H163&amp;"_"&amp;C163&amp;"_"&amp;G163</f>
        <v>chauas_2_100_Myrcia sulfiflora</v>
      </c>
      <c r="J163" s="6" t="n">
        <f aca="false">IF(COUNTIF($I$2:I163,I163)=1,1,0)</f>
        <v>0</v>
      </c>
      <c r="K163" s="6" t="n">
        <f aca="false">E163*$Q$2</f>
        <v>20</v>
      </c>
      <c r="L163" s="7" t="n">
        <f aca="false">K163/PI()</f>
        <v>6.36619772367581</v>
      </c>
      <c r="M163" s="8" t="n">
        <f aca="false">PI()*L163^2/40000</f>
        <v>0.00318309886183791</v>
      </c>
      <c r="N163" s="7" t="n">
        <f aca="false">F163*$Q$3</f>
        <v>5</v>
      </c>
      <c r="O163" s="3"/>
      <c r="P163" s="3"/>
      <c r="Q163" s="3"/>
    </row>
    <row r="164" customFormat="false" ht="15" hidden="false" customHeight="false" outlineLevel="0" collapsed="false">
      <c r="A164" s="2" t="s">
        <v>32</v>
      </c>
      <c r="B164" s="2" t="n">
        <v>2</v>
      </c>
      <c r="C164" s="2" t="n">
        <v>101</v>
      </c>
      <c r="D164" s="2" t="n">
        <v>1</v>
      </c>
      <c r="E164" s="2" t="n">
        <v>180</v>
      </c>
      <c r="F164" s="2" t="n">
        <v>40</v>
      </c>
      <c r="G164" s="2" t="s">
        <v>37</v>
      </c>
      <c r="H164" s="6" t="str">
        <f aca="false">A164&amp;"_"&amp;B164</f>
        <v>chauas_2</v>
      </c>
      <c r="I164" s="6" t="str">
        <f aca="false">H164&amp;"_"&amp;C164&amp;"_"&amp;G164</f>
        <v>chauas_2_101_Tabebuia cassinoides</v>
      </c>
      <c r="J164" s="6" t="n">
        <f aca="false">IF(COUNTIF($I$2:I164,I164)=1,1,0)</f>
        <v>1</v>
      </c>
      <c r="K164" s="6" t="n">
        <f aca="false">E164*$Q$2</f>
        <v>18</v>
      </c>
      <c r="L164" s="7" t="n">
        <f aca="false">K164/PI()</f>
        <v>5.72957795130823</v>
      </c>
      <c r="M164" s="8" t="n">
        <f aca="false">PI()*L164^2/40000</f>
        <v>0.0025783100780887</v>
      </c>
      <c r="N164" s="7" t="n">
        <f aca="false">F164*$Q$3</f>
        <v>4</v>
      </c>
      <c r="O164" s="3"/>
      <c r="P164" s="3"/>
      <c r="Q164" s="3"/>
    </row>
    <row r="165" customFormat="false" ht="15" hidden="false" customHeight="false" outlineLevel="0" collapsed="false">
      <c r="A165" s="2" t="s">
        <v>32</v>
      </c>
      <c r="B165" s="2" t="n">
        <v>2</v>
      </c>
      <c r="C165" s="2" t="n">
        <v>102</v>
      </c>
      <c r="D165" s="2" t="n">
        <v>1</v>
      </c>
      <c r="E165" s="2" t="n">
        <v>210</v>
      </c>
      <c r="F165" s="2" t="n">
        <v>80</v>
      </c>
      <c r="G165" s="2" t="s">
        <v>37</v>
      </c>
      <c r="H165" s="6" t="str">
        <f aca="false">A165&amp;"_"&amp;B165</f>
        <v>chauas_2</v>
      </c>
      <c r="I165" s="6" t="str">
        <f aca="false">H165&amp;"_"&amp;C165&amp;"_"&amp;G165</f>
        <v>chauas_2_102_Tabebuia cassinoides</v>
      </c>
      <c r="J165" s="6" t="n">
        <f aca="false">IF(COUNTIF($I$2:I165,I165)=1,1,0)</f>
        <v>1</v>
      </c>
      <c r="K165" s="6" t="n">
        <f aca="false">E165*$Q$2</f>
        <v>21</v>
      </c>
      <c r="L165" s="7" t="n">
        <f aca="false">K165/PI()</f>
        <v>6.68450760985961</v>
      </c>
      <c r="M165" s="8" t="n">
        <f aca="false">PI()*L165^2/40000</f>
        <v>0.00350936649517629</v>
      </c>
      <c r="N165" s="7" t="n">
        <f aca="false">F165*$Q$3</f>
        <v>8</v>
      </c>
      <c r="O165" s="3"/>
      <c r="P165" s="3"/>
      <c r="Q165" s="3"/>
    </row>
    <row r="166" customFormat="false" ht="15" hidden="false" customHeight="false" outlineLevel="0" collapsed="false">
      <c r="A166" s="2" t="s">
        <v>32</v>
      </c>
      <c r="B166" s="2" t="n">
        <v>2</v>
      </c>
      <c r="C166" s="2" t="n">
        <v>102</v>
      </c>
      <c r="D166" s="2" t="n">
        <v>1</v>
      </c>
      <c r="E166" s="2" t="n">
        <v>220</v>
      </c>
      <c r="F166" s="2" t="n">
        <v>80</v>
      </c>
      <c r="G166" s="2" t="s">
        <v>37</v>
      </c>
      <c r="H166" s="6" t="str">
        <f aca="false">A166&amp;"_"&amp;B166</f>
        <v>chauas_2</v>
      </c>
      <c r="I166" s="6" t="str">
        <f aca="false">H166&amp;"_"&amp;C166&amp;"_"&amp;G166</f>
        <v>chauas_2_102_Tabebuia cassinoides</v>
      </c>
      <c r="J166" s="6" t="n">
        <f aca="false">IF(COUNTIF($I$2:I166,I166)=1,1,0)</f>
        <v>0</v>
      </c>
      <c r="K166" s="6" t="n">
        <f aca="false">E166*$Q$2</f>
        <v>22</v>
      </c>
      <c r="L166" s="7" t="n">
        <f aca="false">K166/PI()</f>
        <v>7.0028174960434</v>
      </c>
      <c r="M166" s="8" t="n">
        <f aca="false">PI()*L166^2/40000</f>
        <v>0.00385154962282387</v>
      </c>
      <c r="N166" s="7" t="n">
        <f aca="false">F166*$Q$3</f>
        <v>8</v>
      </c>
      <c r="O166" s="3"/>
      <c r="P166" s="3"/>
      <c r="Q166" s="3"/>
    </row>
    <row r="167" customFormat="false" ht="15" hidden="false" customHeight="false" outlineLevel="0" collapsed="false">
      <c r="A167" s="2" t="s">
        <v>32</v>
      </c>
      <c r="B167" s="2" t="n">
        <v>2</v>
      </c>
      <c r="C167" s="2" t="n">
        <v>103</v>
      </c>
      <c r="D167" s="2" t="n">
        <v>1</v>
      </c>
      <c r="E167" s="2" t="n">
        <v>230</v>
      </c>
      <c r="F167" s="2" t="n">
        <v>100</v>
      </c>
      <c r="G167" s="2" t="s">
        <v>33</v>
      </c>
      <c r="H167" s="6" t="str">
        <f aca="false">A167&amp;"_"&amp;B167</f>
        <v>chauas_2</v>
      </c>
      <c r="I167" s="6" t="str">
        <f aca="false">H167&amp;"_"&amp;C167&amp;"_"&amp;G167</f>
        <v>chauas_2_103_Myrcia sulfiflora</v>
      </c>
      <c r="J167" s="6" t="n">
        <f aca="false">IF(COUNTIF($I$2:I167,I167)=1,1,0)</f>
        <v>1</v>
      </c>
      <c r="K167" s="6" t="n">
        <f aca="false">E167*$Q$2</f>
        <v>23</v>
      </c>
      <c r="L167" s="7" t="n">
        <f aca="false">K167/PI()</f>
        <v>7.32112738222719</v>
      </c>
      <c r="M167" s="8" t="n">
        <f aca="false">PI()*L167^2/40000</f>
        <v>0.00420964824478063</v>
      </c>
      <c r="N167" s="7" t="n">
        <f aca="false">F167*$Q$3</f>
        <v>10</v>
      </c>
      <c r="O167" s="3"/>
      <c r="P167" s="3"/>
      <c r="Q167" s="3"/>
    </row>
    <row r="168" customFormat="false" ht="15" hidden="false" customHeight="false" outlineLevel="0" collapsed="false">
      <c r="A168" s="2" t="s">
        <v>32</v>
      </c>
      <c r="B168" s="2" t="n">
        <v>2</v>
      </c>
      <c r="C168" s="2" t="n">
        <v>103</v>
      </c>
      <c r="D168" s="2" t="n">
        <v>2</v>
      </c>
      <c r="E168" s="2" t="n">
        <v>260</v>
      </c>
      <c r="F168" s="2" t="n">
        <v>100</v>
      </c>
      <c r="G168" s="2" t="s">
        <v>33</v>
      </c>
      <c r="H168" s="6" t="str">
        <f aca="false">A168&amp;"_"&amp;B168</f>
        <v>chauas_2</v>
      </c>
      <c r="I168" s="6" t="str">
        <f aca="false">H168&amp;"_"&amp;C168&amp;"_"&amp;G168</f>
        <v>chauas_2_103_Myrcia sulfiflora</v>
      </c>
      <c r="J168" s="6" t="n">
        <f aca="false">IF(COUNTIF($I$2:I168,I168)=1,1,0)</f>
        <v>0</v>
      </c>
      <c r="K168" s="6" t="n">
        <f aca="false">E168*$Q$2</f>
        <v>26</v>
      </c>
      <c r="L168" s="7" t="n">
        <f aca="false">K168/PI()</f>
        <v>8.27605704077856</v>
      </c>
      <c r="M168" s="8" t="n">
        <f aca="false">PI()*L168^2/40000</f>
        <v>0.00537943707650606</v>
      </c>
      <c r="N168" s="7" t="n">
        <f aca="false">F168*$Q$3</f>
        <v>10</v>
      </c>
      <c r="O168" s="3"/>
      <c r="P168" s="3"/>
      <c r="Q168" s="3"/>
    </row>
    <row r="169" customFormat="false" ht="15" hidden="false" customHeight="false" outlineLevel="0" collapsed="false">
      <c r="A169" s="2" t="s">
        <v>32</v>
      </c>
      <c r="B169" s="2" t="n">
        <v>2</v>
      </c>
      <c r="C169" s="2" t="n">
        <v>103</v>
      </c>
      <c r="D169" s="2" t="n">
        <v>3</v>
      </c>
      <c r="E169" s="2" t="n">
        <v>190</v>
      </c>
      <c r="F169" s="2" t="n">
        <v>100</v>
      </c>
      <c r="G169" s="2" t="s">
        <v>33</v>
      </c>
      <c r="H169" s="6" t="str">
        <f aca="false">A169&amp;"_"&amp;B169</f>
        <v>chauas_2</v>
      </c>
      <c r="I169" s="6" t="str">
        <f aca="false">H169&amp;"_"&amp;C169&amp;"_"&amp;G169</f>
        <v>chauas_2_103_Myrcia sulfiflora</v>
      </c>
      <c r="J169" s="6" t="n">
        <f aca="false">IF(COUNTIF($I$2:I169,I169)=1,1,0)</f>
        <v>0</v>
      </c>
      <c r="K169" s="6" t="n">
        <f aca="false">E169*$Q$2</f>
        <v>19</v>
      </c>
      <c r="L169" s="7" t="n">
        <f aca="false">K169/PI()</f>
        <v>6.04788783749202</v>
      </c>
      <c r="M169" s="8" t="n">
        <f aca="false">PI()*L169^2/40000</f>
        <v>0.00287274672280871</v>
      </c>
      <c r="N169" s="7" t="n">
        <f aca="false">F169*$Q$3</f>
        <v>10</v>
      </c>
      <c r="O169" s="3"/>
      <c r="P169" s="3"/>
      <c r="Q169" s="3"/>
    </row>
    <row r="170" customFormat="false" ht="15" hidden="false" customHeight="false" outlineLevel="0" collapsed="false">
      <c r="A170" s="2" t="s">
        <v>32</v>
      </c>
      <c r="B170" s="2" t="n">
        <v>3</v>
      </c>
      <c r="C170" s="2" t="n">
        <v>104</v>
      </c>
      <c r="D170" s="2" t="n">
        <v>1</v>
      </c>
      <c r="E170" s="2" t="n">
        <v>340</v>
      </c>
      <c r="F170" s="2" t="n">
        <v>100</v>
      </c>
      <c r="G170" s="2" t="s">
        <v>37</v>
      </c>
      <c r="H170" s="6" t="str">
        <f aca="false">A170&amp;"_"&amp;B170</f>
        <v>chauas_3</v>
      </c>
      <c r="I170" s="6" t="str">
        <f aca="false">H170&amp;"_"&amp;C170&amp;"_"&amp;G170</f>
        <v>chauas_3_104_Tabebuia cassinoides</v>
      </c>
      <c r="J170" s="6" t="n">
        <f aca="false">IF(COUNTIF($I$2:I170,I170)=1,1,0)</f>
        <v>1</v>
      </c>
      <c r="K170" s="6" t="n">
        <f aca="false">E170*$Q$2</f>
        <v>34</v>
      </c>
      <c r="L170" s="7" t="n">
        <f aca="false">K170/PI()</f>
        <v>10.8225361302489</v>
      </c>
      <c r="M170" s="8" t="n">
        <f aca="false">PI()*L170^2/40000</f>
        <v>0.00919915571071155</v>
      </c>
      <c r="N170" s="7" t="n">
        <f aca="false">F170*$Q$3</f>
        <v>10</v>
      </c>
      <c r="O170" s="3"/>
      <c r="P170" s="3"/>
      <c r="Q170" s="3"/>
    </row>
    <row r="171" customFormat="false" ht="15" hidden="false" customHeight="false" outlineLevel="0" collapsed="false">
      <c r="A171" s="2" t="s">
        <v>32</v>
      </c>
      <c r="B171" s="2" t="n">
        <v>3</v>
      </c>
      <c r="C171" s="2" t="n">
        <v>105</v>
      </c>
      <c r="D171" s="2" t="n">
        <v>1</v>
      </c>
      <c r="E171" s="2" t="n">
        <v>270</v>
      </c>
      <c r="F171" s="2" t="n">
        <v>80</v>
      </c>
      <c r="G171" s="2" t="s">
        <v>37</v>
      </c>
      <c r="H171" s="6" t="str">
        <f aca="false">A171&amp;"_"&amp;B171</f>
        <v>chauas_3</v>
      </c>
      <c r="I171" s="6" t="str">
        <f aca="false">H171&amp;"_"&amp;C171&amp;"_"&amp;G171</f>
        <v>chauas_3_105_Tabebuia cassinoides</v>
      </c>
      <c r="J171" s="6" t="n">
        <f aca="false">IF(COUNTIF($I$2:I171,I171)=1,1,0)</f>
        <v>1</v>
      </c>
      <c r="K171" s="6" t="n">
        <f aca="false">E171*$Q$2</f>
        <v>27</v>
      </c>
      <c r="L171" s="7" t="n">
        <f aca="false">K171/PI()</f>
        <v>8.59436692696235</v>
      </c>
      <c r="M171" s="8" t="n">
        <f aca="false">PI()*L171^2/40000</f>
        <v>0.00580119767569958</v>
      </c>
      <c r="N171" s="7" t="n">
        <f aca="false">F171*$Q$3</f>
        <v>8</v>
      </c>
      <c r="O171" s="3"/>
      <c r="P171" s="3"/>
      <c r="Q171" s="3"/>
    </row>
    <row r="172" customFormat="false" ht="15" hidden="false" customHeight="false" outlineLevel="0" collapsed="false">
      <c r="A172" s="2" t="s">
        <v>32</v>
      </c>
      <c r="B172" s="2" t="n">
        <v>3</v>
      </c>
      <c r="C172" s="2" t="n">
        <v>105</v>
      </c>
      <c r="D172" s="2" t="n">
        <v>1</v>
      </c>
      <c r="E172" s="2" t="n">
        <v>230</v>
      </c>
      <c r="F172" s="2" t="n">
        <v>80</v>
      </c>
      <c r="G172" s="2" t="s">
        <v>37</v>
      </c>
      <c r="H172" s="6" t="str">
        <f aca="false">A172&amp;"_"&amp;B172</f>
        <v>chauas_3</v>
      </c>
      <c r="I172" s="6" t="str">
        <f aca="false">H172&amp;"_"&amp;C172&amp;"_"&amp;G172</f>
        <v>chauas_3_105_Tabebuia cassinoides</v>
      </c>
      <c r="J172" s="6" t="n">
        <f aca="false">IF(COUNTIF($I$2:I172,I172)=1,1,0)</f>
        <v>0</v>
      </c>
      <c r="K172" s="6" t="n">
        <f aca="false">E172*$Q$2</f>
        <v>23</v>
      </c>
      <c r="L172" s="7" t="n">
        <f aca="false">K172/PI()</f>
        <v>7.32112738222719</v>
      </c>
      <c r="M172" s="8" t="n">
        <f aca="false">PI()*L172^2/40000</f>
        <v>0.00420964824478063</v>
      </c>
      <c r="N172" s="7" t="n">
        <f aca="false">F172*$Q$3</f>
        <v>8</v>
      </c>
      <c r="O172" s="3"/>
      <c r="P172" s="3"/>
      <c r="Q172" s="3"/>
    </row>
    <row r="173" customFormat="false" ht="15" hidden="false" customHeight="false" outlineLevel="0" collapsed="false">
      <c r="A173" s="2" t="s">
        <v>32</v>
      </c>
      <c r="B173" s="2" t="n">
        <v>3</v>
      </c>
      <c r="C173" s="2" t="n">
        <v>106</v>
      </c>
      <c r="D173" s="2" t="n">
        <v>1</v>
      </c>
      <c r="E173" s="2" t="n">
        <v>300</v>
      </c>
      <c r="F173" s="2" t="n">
        <v>90</v>
      </c>
      <c r="G173" s="2" t="s">
        <v>37</v>
      </c>
      <c r="H173" s="6" t="str">
        <f aca="false">A173&amp;"_"&amp;B173</f>
        <v>chauas_3</v>
      </c>
      <c r="I173" s="6" t="str">
        <f aca="false">H173&amp;"_"&amp;C173&amp;"_"&amp;G173</f>
        <v>chauas_3_106_Tabebuia cassinoides</v>
      </c>
      <c r="J173" s="6" t="n">
        <f aca="false">IF(COUNTIF($I$2:I173,I173)=1,1,0)</f>
        <v>1</v>
      </c>
      <c r="K173" s="6" t="n">
        <f aca="false">E173*$Q$2</f>
        <v>30</v>
      </c>
      <c r="L173" s="7" t="n">
        <f aca="false">K173/PI()</f>
        <v>9.54929658551372</v>
      </c>
      <c r="M173" s="8" t="n">
        <f aca="false">PI()*L173^2/40000</f>
        <v>0.00716197243913529</v>
      </c>
      <c r="N173" s="7" t="n">
        <f aca="false">F173*$Q$3</f>
        <v>9</v>
      </c>
      <c r="O173" s="3"/>
      <c r="P173" s="3"/>
      <c r="Q173" s="3"/>
    </row>
    <row r="174" customFormat="false" ht="15" hidden="false" customHeight="false" outlineLevel="0" collapsed="false">
      <c r="A174" s="2" t="s">
        <v>32</v>
      </c>
      <c r="B174" s="2" t="n">
        <v>3</v>
      </c>
      <c r="C174" s="2" t="n">
        <v>106</v>
      </c>
      <c r="D174" s="2" t="n">
        <v>2</v>
      </c>
      <c r="E174" s="2" t="n">
        <v>250</v>
      </c>
      <c r="F174" s="2" t="n">
        <v>90</v>
      </c>
      <c r="G174" s="2" t="s">
        <v>37</v>
      </c>
      <c r="H174" s="6" t="str">
        <f aca="false">A174&amp;"_"&amp;B174</f>
        <v>chauas_3</v>
      </c>
      <c r="I174" s="6" t="str">
        <f aca="false">H174&amp;"_"&amp;C174&amp;"_"&amp;G174</f>
        <v>chauas_3_106_Tabebuia cassinoides</v>
      </c>
      <c r="J174" s="6" t="n">
        <f aca="false">IF(COUNTIF($I$2:I174,I174)=1,1,0)</f>
        <v>0</v>
      </c>
      <c r="K174" s="6" t="n">
        <f aca="false">E174*$Q$2</f>
        <v>25</v>
      </c>
      <c r="L174" s="7" t="n">
        <f aca="false">K174/PI()</f>
        <v>7.95774715459477</v>
      </c>
      <c r="M174" s="8" t="n">
        <f aca="false">PI()*L174^2/40000</f>
        <v>0.00497359197162173</v>
      </c>
      <c r="N174" s="7" t="n">
        <f aca="false">F174*$Q$3</f>
        <v>9</v>
      </c>
      <c r="O174" s="3"/>
      <c r="P174" s="3"/>
      <c r="Q174" s="3"/>
    </row>
    <row r="175" customFormat="false" ht="15" hidden="false" customHeight="false" outlineLevel="0" collapsed="false">
      <c r="A175" s="2" t="s">
        <v>32</v>
      </c>
      <c r="B175" s="2" t="n">
        <v>3</v>
      </c>
      <c r="C175" s="2" t="n">
        <v>107</v>
      </c>
      <c r="D175" s="2" t="n">
        <v>1</v>
      </c>
      <c r="E175" s="2" t="n">
        <v>460</v>
      </c>
      <c r="F175" s="2" t="n">
        <v>80</v>
      </c>
      <c r="G175" s="2" t="s">
        <v>37</v>
      </c>
      <c r="H175" s="6" t="str">
        <f aca="false">A175&amp;"_"&amp;B175</f>
        <v>chauas_3</v>
      </c>
      <c r="I175" s="6" t="str">
        <f aca="false">H175&amp;"_"&amp;C175&amp;"_"&amp;G175</f>
        <v>chauas_3_107_Tabebuia cassinoides</v>
      </c>
      <c r="J175" s="6" t="n">
        <f aca="false">IF(COUNTIF($I$2:I175,I175)=1,1,0)</f>
        <v>1</v>
      </c>
      <c r="K175" s="6" t="n">
        <f aca="false">E175*$Q$2</f>
        <v>46</v>
      </c>
      <c r="L175" s="7" t="n">
        <f aca="false">K175/PI()</f>
        <v>14.6422547644544</v>
      </c>
      <c r="M175" s="8" t="n">
        <f aca="false">PI()*L175^2/40000</f>
        <v>0.0168385929791225</v>
      </c>
      <c r="N175" s="7" t="n">
        <f aca="false">F175*$Q$3</f>
        <v>8</v>
      </c>
      <c r="O175" s="3"/>
      <c r="P175" s="3"/>
      <c r="Q175" s="3"/>
    </row>
    <row r="176" customFormat="false" ht="15" hidden="false" customHeight="false" outlineLevel="0" collapsed="false">
      <c r="A176" s="2" t="s">
        <v>32</v>
      </c>
      <c r="B176" s="2" t="n">
        <v>3</v>
      </c>
      <c r="C176" s="2" t="n">
        <v>108</v>
      </c>
      <c r="D176" s="2" t="n">
        <v>1</v>
      </c>
      <c r="E176" s="2" t="n">
        <v>240</v>
      </c>
      <c r="F176" s="2" t="n">
        <v>100</v>
      </c>
      <c r="G176" s="2" t="s">
        <v>37</v>
      </c>
      <c r="H176" s="6" t="str">
        <f aca="false">A176&amp;"_"&amp;B176</f>
        <v>chauas_3</v>
      </c>
      <c r="I176" s="6" t="str">
        <f aca="false">H176&amp;"_"&amp;C176&amp;"_"&amp;G176</f>
        <v>chauas_3_108_Tabebuia cassinoides</v>
      </c>
      <c r="J176" s="6" t="n">
        <f aca="false">IF(COUNTIF($I$2:I176,I176)=1,1,0)</f>
        <v>1</v>
      </c>
      <c r="K176" s="6" t="n">
        <f aca="false">E176*$Q$2</f>
        <v>24</v>
      </c>
      <c r="L176" s="7" t="n">
        <f aca="false">K176/PI()</f>
        <v>7.63943726841098</v>
      </c>
      <c r="M176" s="8" t="n">
        <f aca="false">PI()*L176^2/40000</f>
        <v>0.00458366236104659</v>
      </c>
      <c r="N176" s="7" t="n">
        <f aca="false">F176*$Q$3</f>
        <v>10</v>
      </c>
      <c r="O176" s="3"/>
      <c r="P176" s="3"/>
      <c r="Q176" s="3"/>
    </row>
    <row r="177" customFormat="false" ht="15" hidden="false" customHeight="false" outlineLevel="0" collapsed="false">
      <c r="A177" s="2" t="s">
        <v>32</v>
      </c>
      <c r="B177" s="2" t="n">
        <v>3</v>
      </c>
      <c r="C177" s="2" t="n">
        <v>108</v>
      </c>
      <c r="D177" s="2" t="n">
        <v>2</v>
      </c>
      <c r="E177" s="2" t="n">
        <v>150</v>
      </c>
      <c r="F177" s="2" t="n">
        <v>100</v>
      </c>
      <c r="G177" s="2" t="s">
        <v>37</v>
      </c>
      <c r="H177" s="6" t="str">
        <f aca="false">A177&amp;"_"&amp;B177</f>
        <v>chauas_3</v>
      </c>
      <c r="I177" s="6" t="str">
        <f aca="false">H177&amp;"_"&amp;C177&amp;"_"&amp;G177</f>
        <v>chauas_3_108_Tabebuia cassinoides</v>
      </c>
      <c r="J177" s="6" t="n">
        <f aca="false">IF(COUNTIF($I$2:I177,I177)=1,1,0)</f>
        <v>0</v>
      </c>
      <c r="K177" s="6" t="n">
        <f aca="false">E177*$Q$2</f>
        <v>15</v>
      </c>
      <c r="L177" s="7" t="n">
        <f aca="false">K177/PI()</f>
        <v>4.77464829275686</v>
      </c>
      <c r="M177" s="8" t="n">
        <f aca="false">PI()*L177^2/40000</f>
        <v>0.00179049310978382</v>
      </c>
      <c r="N177" s="7" t="n">
        <f aca="false">F177*$Q$3</f>
        <v>10</v>
      </c>
      <c r="O177" s="3"/>
      <c r="P177" s="3"/>
      <c r="Q177" s="3"/>
    </row>
    <row r="178" customFormat="false" ht="15" hidden="false" customHeight="false" outlineLevel="0" collapsed="false">
      <c r="A178" s="2" t="s">
        <v>32</v>
      </c>
      <c r="B178" s="2" t="n">
        <v>3</v>
      </c>
      <c r="C178" s="2" t="n">
        <v>109</v>
      </c>
      <c r="D178" s="2" t="n">
        <v>1</v>
      </c>
      <c r="E178" s="2" t="n">
        <v>190</v>
      </c>
      <c r="F178" s="2" t="n">
        <v>40</v>
      </c>
      <c r="G178" s="2" t="s">
        <v>37</v>
      </c>
      <c r="H178" s="6" t="str">
        <f aca="false">A178&amp;"_"&amp;B178</f>
        <v>chauas_3</v>
      </c>
      <c r="I178" s="6" t="str">
        <f aca="false">H178&amp;"_"&amp;C178&amp;"_"&amp;G178</f>
        <v>chauas_3_109_Tabebuia cassinoides</v>
      </c>
      <c r="J178" s="6" t="n">
        <f aca="false">IF(COUNTIF($I$2:I178,I178)=1,1,0)</f>
        <v>1</v>
      </c>
      <c r="K178" s="6" t="n">
        <f aca="false">E178*$Q$2</f>
        <v>19</v>
      </c>
      <c r="L178" s="7" t="n">
        <f aca="false">K178/PI()</f>
        <v>6.04788783749202</v>
      </c>
      <c r="M178" s="8" t="n">
        <f aca="false">PI()*L178^2/40000</f>
        <v>0.00287274672280871</v>
      </c>
      <c r="N178" s="7" t="n">
        <f aca="false">F178*$Q$3</f>
        <v>4</v>
      </c>
      <c r="O178" s="3"/>
      <c r="P178" s="3"/>
      <c r="Q178" s="3"/>
    </row>
    <row r="179" customFormat="false" ht="15" hidden="false" customHeight="false" outlineLevel="0" collapsed="false">
      <c r="A179" s="2" t="s">
        <v>32</v>
      </c>
      <c r="B179" s="2" t="n">
        <v>3</v>
      </c>
      <c r="C179" s="2" t="n">
        <v>110</v>
      </c>
      <c r="D179" s="2" t="n">
        <v>1</v>
      </c>
      <c r="E179" s="2" t="n">
        <v>260</v>
      </c>
      <c r="F179" s="2" t="n">
        <v>80</v>
      </c>
      <c r="G179" s="2" t="s">
        <v>37</v>
      </c>
      <c r="H179" s="6" t="str">
        <f aca="false">A179&amp;"_"&amp;B179</f>
        <v>chauas_3</v>
      </c>
      <c r="I179" s="6" t="str">
        <f aca="false">H179&amp;"_"&amp;C179&amp;"_"&amp;G179</f>
        <v>chauas_3_110_Tabebuia cassinoides</v>
      </c>
      <c r="J179" s="6" t="n">
        <f aca="false">IF(COUNTIF($I$2:I179,I179)=1,1,0)</f>
        <v>1</v>
      </c>
      <c r="K179" s="6" t="n">
        <f aca="false">E179*$Q$2</f>
        <v>26</v>
      </c>
      <c r="L179" s="7" t="n">
        <f aca="false">K179/PI()</f>
        <v>8.27605704077856</v>
      </c>
      <c r="M179" s="8" t="n">
        <f aca="false">PI()*L179^2/40000</f>
        <v>0.00537943707650606</v>
      </c>
      <c r="N179" s="7" t="n">
        <f aca="false">F179*$Q$3</f>
        <v>8</v>
      </c>
      <c r="O179" s="3"/>
      <c r="P179" s="3"/>
      <c r="Q179" s="3"/>
    </row>
    <row r="180" customFormat="false" ht="15" hidden="false" customHeight="false" outlineLevel="0" collapsed="false">
      <c r="A180" s="2" t="s">
        <v>32</v>
      </c>
      <c r="B180" s="2" t="n">
        <v>3</v>
      </c>
      <c r="C180" s="2" t="n">
        <v>111</v>
      </c>
      <c r="D180" s="2" t="n">
        <v>1</v>
      </c>
      <c r="E180" s="2" t="n">
        <v>360</v>
      </c>
      <c r="F180" s="2" t="n">
        <v>70</v>
      </c>
      <c r="G180" s="2" t="s">
        <v>37</v>
      </c>
      <c r="H180" s="6" t="str">
        <f aca="false">A180&amp;"_"&amp;B180</f>
        <v>chauas_3</v>
      </c>
      <c r="I180" s="6" t="str">
        <f aca="false">H180&amp;"_"&amp;C180&amp;"_"&amp;G180</f>
        <v>chauas_3_111_Tabebuia cassinoides</v>
      </c>
      <c r="J180" s="6" t="n">
        <f aca="false">IF(COUNTIF($I$2:I180,I180)=1,1,0)</f>
        <v>1</v>
      </c>
      <c r="K180" s="6" t="n">
        <f aca="false">E180*$Q$2</f>
        <v>36</v>
      </c>
      <c r="L180" s="7" t="n">
        <f aca="false">K180/PI()</f>
        <v>11.4591559026165</v>
      </c>
      <c r="M180" s="8" t="n">
        <f aca="false">PI()*L180^2/40000</f>
        <v>0.0103132403123548</v>
      </c>
      <c r="N180" s="7" t="n">
        <f aca="false">F180*$Q$3</f>
        <v>7</v>
      </c>
      <c r="O180" s="3"/>
      <c r="P180" s="3"/>
      <c r="Q180" s="3"/>
    </row>
    <row r="181" customFormat="false" ht="15" hidden="false" customHeight="false" outlineLevel="0" collapsed="false">
      <c r="A181" s="2" t="s">
        <v>32</v>
      </c>
      <c r="B181" s="2" t="n">
        <v>3</v>
      </c>
      <c r="C181" s="2" t="n">
        <v>111</v>
      </c>
      <c r="D181" s="2" t="n">
        <v>2</v>
      </c>
      <c r="E181" s="2" t="n">
        <v>250</v>
      </c>
      <c r="F181" s="2" t="n">
        <v>70</v>
      </c>
      <c r="G181" s="2" t="s">
        <v>37</v>
      </c>
      <c r="H181" s="6" t="str">
        <f aca="false">A181&amp;"_"&amp;B181</f>
        <v>chauas_3</v>
      </c>
      <c r="I181" s="6" t="str">
        <f aca="false">H181&amp;"_"&amp;C181&amp;"_"&amp;G181</f>
        <v>chauas_3_111_Tabebuia cassinoides</v>
      </c>
      <c r="J181" s="6" t="n">
        <f aca="false">IF(COUNTIF($I$2:I181,I181)=1,1,0)</f>
        <v>0</v>
      </c>
      <c r="K181" s="6" t="n">
        <f aca="false">E181*$Q$2</f>
        <v>25</v>
      </c>
      <c r="L181" s="7" t="n">
        <f aca="false">K181/PI()</f>
        <v>7.95774715459477</v>
      </c>
      <c r="M181" s="8" t="n">
        <f aca="false">PI()*L181^2/40000</f>
        <v>0.00497359197162173</v>
      </c>
      <c r="N181" s="7" t="n">
        <f aca="false">F181*$Q$3</f>
        <v>7</v>
      </c>
      <c r="O181" s="3"/>
      <c r="P181" s="3"/>
      <c r="Q181" s="3"/>
    </row>
    <row r="182" customFormat="false" ht="15" hidden="false" customHeight="false" outlineLevel="0" collapsed="false">
      <c r="A182" s="2" t="s">
        <v>32</v>
      </c>
      <c r="B182" s="2" t="n">
        <v>3</v>
      </c>
      <c r="C182" s="2" t="n">
        <v>112</v>
      </c>
      <c r="D182" s="2" t="n">
        <v>1</v>
      </c>
      <c r="E182" s="2" t="n">
        <v>330</v>
      </c>
      <c r="F182" s="2" t="n">
        <v>60</v>
      </c>
      <c r="G182" s="2" t="s">
        <v>37</v>
      </c>
      <c r="H182" s="6" t="str">
        <f aca="false">A182&amp;"_"&amp;B182</f>
        <v>chauas_3</v>
      </c>
      <c r="I182" s="6" t="str">
        <f aca="false">H182&amp;"_"&amp;C182&amp;"_"&amp;G182</f>
        <v>chauas_3_112_Tabebuia cassinoides</v>
      </c>
      <c r="J182" s="6" t="n">
        <f aca="false">IF(COUNTIF($I$2:I182,I182)=1,1,0)</f>
        <v>1</v>
      </c>
      <c r="K182" s="6" t="n">
        <f aca="false">E182*$Q$2</f>
        <v>33</v>
      </c>
      <c r="L182" s="7" t="n">
        <f aca="false">K182/PI()</f>
        <v>10.5042262440651</v>
      </c>
      <c r="M182" s="8" t="n">
        <f aca="false">PI()*L182^2/40000</f>
        <v>0.0086659866513537</v>
      </c>
      <c r="N182" s="7" t="n">
        <f aca="false">F182*$Q$3</f>
        <v>6</v>
      </c>
      <c r="O182" s="3"/>
      <c r="P182" s="3"/>
      <c r="Q182" s="3"/>
    </row>
    <row r="183" customFormat="false" ht="15" hidden="false" customHeight="false" outlineLevel="0" collapsed="false">
      <c r="A183" s="2" t="s">
        <v>32</v>
      </c>
      <c r="B183" s="2" t="n">
        <v>3</v>
      </c>
      <c r="C183" s="2" t="n">
        <v>112</v>
      </c>
      <c r="D183" s="2" t="n">
        <v>2</v>
      </c>
      <c r="E183" s="2" t="n">
        <v>160</v>
      </c>
      <c r="F183" s="2" t="n">
        <v>60</v>
      </c>
      <c r="G183" s="2" t="s">
        <v>37</v>
      </c>
      <c r="H183" s="6" t="str">
        <f aca="false">A183&amp;"_"&amp;B183</f>
        <v>chauas_3</v>
      </c>
      <c r="I183" s="6" t="str">
        <f aca="false">H183&amp;"_"&amp;C183&amp;"_"&amp;G183</f>
        <v>chauas_3_112_Tabebuia cassinoides</v>
      </c>
      <c r="J183" s="6" t="n">
        <f aca="false">IF(COUNTIF($I$2:I183,I183)=1,1,0)</f>
        <v>0</v>
      </c>
      <c r="K183" s="6" t="n">
        <f aca="false">E183*$Q$2</f>
        <v>16</v>
      </c>
      <c r="L183" s="7" t="n">
        <f aca="false">K183/PI()</f>
        <v>5.09295817894065</v>
      </c>
      <c r="M183" s="8" t="n">
        <f aca="false">PI()*L183^2/40000</f>
        <v>0.00203718327157626</v>
      </c>
      <c r="N183" s="7" t="n">
        <f aca="false">F183*$Q$3</f>
        <v>6</v>
      </c>
      <c r="O183" s="3"/>
      <c r="P183" s="3"/>
      <c r="Q183" s="3"/>
    </row>
    <row r="184" customFormat="false" ht="15" hidden="false" customHeight="false" outlineLevel="0" collapsed="false">
      <c r="A184" s="2" t="s">
        <v>32</v>
      </c>
      <c r="B184" s="2" t="n">
        <v>3</v>
      </c>
      <c r="C184" s="2" t="n">
        <v>113</v>
      </c>
      <c r="D184" s="2" t="n">
        <v>1</v>
      </c>
      <c r="E184" s="2" t="n">
        <v>560</v>
      </c>
      <c r="F184" s="2" t="n">
        <v>110</v>
      </c>
      <c r="G184" s="2" t="s">
        <v>37</v>
      </c>
      <c r="H184" s="6" t="str">
        <f aca="false">A184&amp;"_"&amp;B184</f>
        <v>chauas_3</v>
      </c>
      <c r="I184" s="6" t="str">
        <f aca="false">H184&amp;"_"&amp;C184&amp;"_"&amp;G184</f>
        <v>chauas_3_113_Tabebuia cassinoides</v>
      </c>
      <c r="J184" s="6" t="n">
        <f aca="false">IF(COUNTIF($I$2:I184,I184)=1,1,0)</f>
        <v>1</v>
      </c>
      <c r="K184" s="6" t="n">
        <f aca="false">E184*$Q$2</f>
        <v>56</v>
      </c>
      <c r="L184" s="7" t="n">
        <f aca="false">K184/PI()</f>
        <v>17.8253536262923</v>
      </c>
      <c r="M184" s="8" t="n">
        <f aca="false">PI()*L184^2/40000</f>
        <v>0.0249554950768092</v>
      </c>
      <c r="N184" s="7" t="n">
        <f aca="false">F184*$Q$3</f>
        <v>11</v>
      </c>
      <c r="O184" s="3"/>
      <c r="P184" s="3"/>
      <c r="Q184" s="3"/>
    </row>
    <row r="185" customFormat="false" ht="15" hidden="false" customHeight="false" outlineLevel="0" collapsed="false">
      <c r="A185" s="2" t="s">
        <v>32</v>
      </c>
      <c r="B185" s="2" t="n">
        <v>3</v>
      </c>
      <c r="C185" s="2" t="n">
        <v>114</v>
      </c>
      <c r="D185" s="2" t="n">
        <v>1</v>
      </c>
      <c r="E185" s="2" t="n">
        <v>220</v>
      </c>
      <c r="F185" s="2" t="n">
        <v>70</v>
      </c>
      <c r="G185" s="2" t="s">
        <v>37</v>
      </c>
      <c r="H185" s="6" t="str">
        <f aca="false">A185&amp;"_"&amp;B185</f>
        <v>chauas_3</v>
      </c>
      <c r="I185" s="6" t="str">
        <f aca="false">H185&amp;"_"&amp;C185&amp;"_"&amp;G185</f>
        <v>chauas_3_114_Tabebuia cassinoides</v>
      </c>
      <c r="J185" s="6" t="n">
        <f aca="false">IF(COUNTIF($I$2:I185,I185)=1,1,0)</f>
        <v>1</v>
      </c>
      <c r="K185" s="6" t="n">
        <f aca="false">E185*$Q$2</f>
        <v>22</v>
      </c>
      <c r="L185" s="7" t="n">
        <f aca="false">K185/PI()</f>
        <v>7.0028174960434</v>
      </c>
      <c r="M185" s="8" t="n">
        <f aca="false">PI()*L185^2/40000</f>
        <v>0.00385154962282387</v>
      </c>
      <c r="N185" s="7" t="n">
        <f aca="false">F185*$Q$3</f>
        <v>7</v>
      </c>
      <c r="O185" s="3"/>
      <c r="P185" s="3"/>
      <c r="Q185" s="3"/>
    </row>
    <row r="186" customFormat="false" ht="15" hidden="false" customHeight="false" outlineLevel="0" collapsed="false">
      <c r="A186" s="2" t="s">
        <v>32</v>
      </c>
      <c r="B186" s="2" t="n">
        <v>3</v>
      </c>
      <c r="C186" s="2" t="n">
        <v>114</v>
      </c>
      <c r="D186" s="2" t="n">
        <v>2</v>
      </c>
      <c r="E186" s="2" t="n">
        <v>280</v>
      </c>
      <c r="F186" s="2" t="n">
        <v>70</v>
      </c>
      <c r="G186" s="2" t="s">
        <v>37</v>
      </c>
      <c r="H186" s="6" t="str">
        <f aca="false">A186&amp;"_"&amp;B186</f>
        <v>chauas_3</v>
      </c>
      <c r="I186" s="6" t="str">
        <f aca="false">H186&amp;"_"&amp;C186&amp;"_"&amp;G186</f>
        <v>chauas_3_114_Tabebuia cassinoides</v>
      </c>
      <c r="J186" s="6" t="n">
        <f aca="false">IF(COUNTIF($I$2:I186,I186)=1,1,0)</f>
        <v>0</v>
      </c>
      <c r="K186" s="6" t="n">
        <f aca="false">E186*$Q$2</f>
        <v>28</v>
      </c>
      <c r="L186" s="7" t="n">
        <f aca="false">K186/PI()</f>
        <v>8.91267681314614</v>
      </c>
      <c r="M186" s="8" t="n">
        <f aca="false">PI()*L186^2/40000</f>
        <v>0.0062388737692023</v>
      </c>
      <c r="N186" s="7" t="n">
        <f aca="false">F186*$Q$3</f>
        <v>7</v>
      </c>
      <c r="O186" s="3"/>
      <c r="P186" s="3"/>
      <c r="Q186" s="3"/>
    </row>
    <row r="187" customFormat="false" ht="15" hidden="false" customHeight="false" outlineLevel="0" collapsed="false">
      <c r="A187" s="2" t="s">
        <v>32</v>
      </c>
      <c r="B187" s="2" t="n">
        <v>3</v>
      </c>
      <c r="C187" s="2" t="n">
        <v>115</v>
      </c>
      <c r="D187" s="2" t="n">
        <v>1</v>
      </c>
      <c r="E187" s="2" t="n">
        <v>270</v>
      </c>
      <c r="F187" s="2" t="n">
        <v>90</v>
      </c>
      <c r="G187" s="2" t="s">
        <v>37</v>
      </c>
      <c r="H187" s="6" t="str">
        <f aca="false">A187&amp;"_"&amp;B187</f>
        <v>chauas_3</v>
      </c>
      <c r="I187" s="6" t="str">
        <f aca="false">H187&amp;"_"&amp;C187&amp;"_"&amp;G187</f>
        <v>chauas_3_115_Tabebuia cassinoides</v>
      </c>
      <c r="J187" s="6" t="n">
        <f aca="false">IF(COUNTIF($I$2:I187,I187)=1,1,0)</f>
        <v>1</v>
      </c>
      <c r="K187" s="6" t="n">
        <f aca="false">E187*$Q$2</f>
        <v>27</v>
      </c>
      <c r="L187" s="7" t="n">
        <f aca="false">K187/PI()</f>
        <v>8.59436692696235</v>
      </c>
      <c r="M187" s="8" t="n">
        <f aca="false">PI()*L187^2/40000</f>
        <v>0.00580119767569958</v>
      </c>
      <c r="N187" s="7" t="n">
        <f aca="false">F187*$Q$3</f>
        <v>9</v>
      </c>
      <c r="O187" s="3"/>
      <c r="P187" s="3"/>
      <c r="Q187" s="3"/>
    </row>
    <row r="188" customFormat="false" ht="15" hidden="false" customHeight="false" outlineLevel="0" collapsed="false">
      <c r="A188" s="2" t="s">
        <v>32</v>
      </c>
      <c r="B188" s="2" t="n">
        <v>3</v>
      </c>
      <c r="C188" s="2" t="n">
        <v>115</v>
      </c>
      <c r="D188" s="2" t="n">
        <v>2</v>
      </c>
      <c r="E188" s="2" t="n">
        <v>220</v>
      </c>
      <c r="F188" s="2" t="n">
        <v>90</v>
      </c>
      <c r="G188" s="2" t="s">
        <v>37</v>
      </c>
      <c r="H188" s="6" t="str">
        <f aca="false">A188&amp;"_"&amp;B188</f>
        <v>chauas_3</v>
      </c>
      <c r="I188" s="6" t="str">
        <f aca="false">H188&amp;"_"&amp;C188&amp;"_"&amp;G188</f>
        <v>chauas_3_115_Tabebuia cassinoides</v>
      </c>
      <c r="J188" s="6" t="n">
        <f aca="false">IF(COUNTIF($I$2:I188,I188)=1,1,0)</f>
        <v>0</v>
      </c>
      <c r="K188" s="6" t="n">
        <f aca="false">E188*$Q$2</f>
        <v>22</v>
      </c>
      <c r="L188" s="7" t="n">
        <f aca="false">K188/PI()</f>
        <v>7.0028174960434</v>
      </c>
      <c r="M188" s="8" t="n">
        <f aca="false">PI()*L188^2/40000</f>
        <v>0.00385154962282387</v>
      </c>
      <c r="N188" s="7" t="n">
        <f aca="false">F188*$Q$3</f>
        <v>9</v>
      </c>
      <c r="O188" s="3"/>
      <c r="P188" s="3"/>
      <c r="Q188" s="3"/>
    </row>
    <row r="189" customFormat="false" ht="15" hidden="false" customHeight="false" outlineLevel="0" collapsed="false">
      <c r="A189" s="2" t="s">
        <v>32</v>
      </c>
      <c r="B189" s="2" t="n">
        <v>3</v>
      </c>
      <c r="C189" s="2" t="n">
        <v>116</v>
      </c>
      <c r="D189" s="2" t="n">
        <v>1</v>
      </c>
      <c r="E189" s="2" t="n">
        <v>190</v>
      </c>
      <c r="F189" s="2" t="n">
        <v>40</v>
      </c>
      <c r="G189" s="2" t="s">
        <v>33</v>
      </c>
      <c r="H189" s="6" t="str">
        <f aca="false">A189&amp;"_"&amp;B189</f>
        <v>chauas_3</v>
      </c>
      <c r="I189" s="6" t="str">
        <f aca="false">H189&amp;"_"&amp;C189&amp;"_"&amp;G189</f>
        <v>chauas_3_116_Myrcia sulfiflora</v>
      </c>
      <c r="J189" s="6" t="n">
        <f aca="false">IF(COUNTIF($I$2:I189,I189)=1,1,0)</f>
        <v>1</v>
      </c>
      <c r="K189" s="6" t="n">
        <f aca="false">E189*$Q$2</f>
        <v>19</v>
      </c>
      <c r="L189" s="7" t="n">
        <f aca="false">K189/PI()</f>
        <v>6.04788783749202</v>
      </c>
      <c r="M189" s="8" t="n">
        <f aca="false">PI()*L189^2/40000</f>
        <v>0.00287274672280871</v>
      </c>
      <c r="N189" s="7" t="n">
        <f aca="false">F189*$Q$3</f>
        <v>4</v>
      </c>
      <c r="O189" s="3"/>
      <c r="P189" s="3"/>
      <c r="Q189" s="3"/>
    </row>
    <row r="190" customFormat="false" ht="15" hidden="false" customHeight="false" outlineLevel="0" collapsed="false">
      <c r="A190" s="2" t="s">
        <v>32</v>
      </c>
      <c r="B190" s="2" t="n">
        <v>3</v>
      </c>
      <c r="C190" s="2" t="n">
        <v>117</v>
      </c>
      <c r="D190" s="2" t="n">
        <v>1</v>
      </c>
      <c r="E190" s="2" t="n">
        <v>300</v>
      </c>
      <c r="F190" s="2" t="n">
        <v>40</v>
      </c>
      <c r="G190" s="2" t="s">
        <v>33</v>
      </c>
      <c r="H190" s="6" t="str">
        <f aca="false">A190&amp;"_"&amp;B190</f>
        <v>chauas_3</v>
      </c>
      <c r="I190" s="6" t="str">
        <f aca="false">H190&amp;"_"&amp;C190&amp;"_"&amp;G190</f>
        <v>chauas_3_117_Myrcia sulfiflora</v>
      </c>
      <c r="J190" s="6" t="n">
        <f aca="false">IF(COUNTIF($I$2:I190,I190)=1,1,0)</f>
        <v>1</v>
      </c>
      <c r="K190" s="6" t="n">
        <f aca="false">E190*$Q$2</f>
        <v>30</v>
      </c>
      <c r="L190" s="7" t="n">
        <f aca="false">K190/PI()</f>
        <v>9.54929658551372</v>
      </c>
      <c r="M190" s="8" t="n">
        <f aca="false">PI()*L190^2/40000</f>
        <v>0.00716197243913529</v>
      </c>
      <c r="N190" s="7" t="n">
        <f aca="false">F190*$Q$3</f>
        <v>4</v>
      </c>
      <c r="O190" s="3"/>
      <c r="P190" s="3"/>
      <c r="Q190" s="3"/>
    </row>
    <row r="191" customFormat="false" ht="15" hidden="false" customHeight="false" outlineLevel="0" collapsed="false">
      <c r="A191" s="2" t="s">
        <v>32</v>
      </c>
      <c r="B191" s="2" t="n">
        <v>3</v>
      </c>
      <c r="C191" s="2" t="n">
        <v>118</v>
      </c>
      <c r="D191" s="2" t="n">
        <v>1</v>
      </c>
      <c r="E191" s="2" t="n">
        <v>280</v>
      </c>
      <c r="F191" s="2" t="n">
        <v>60</v>
      </c>
      <c r="G191" s="2" t="s">
        <v>37</v>
      </c>
      <c r="H191" s="6" t="str">
        <f aca="false">A191&amp;"_"&amp;B191</f>
        <v>chauas_3</v>
      </c>
      <c r="I191" s="6" t="str">
        <f aca="false">H191&amp;"_"&amp;C191&amp;"_"&amp;G191</f>
        <v>chauas_3_118_Tabebuia cassinoides</v>
      </c>
      <c r="J191" s="6" t="n">
        <f aca="false">IF(COUNTIF($I$2:I191,I191)=1,1,0)</f>
        <v>1</v>
      </c>
      <c r="K191" s="6" t="n">
        <f aca="false">E191*$Q$2</f>
        <v>28</v>
      </c>
      <c r="L191" s="7" t="n">
        <f aca="false">K191/PI()</f>
        <v>8.91267681314614</v>
      </c>
      <c r="M191" s="8" t="n">
        <f aca="false">PI()*L191^2/40000</f>
        <v>0.0062388737692023</v>
      </c>
      <c r="N191" s="7" t="n">
        <f aca="false">F191*$Q$3</f>
        <v>6</v>
      </c>
      <c r="O191" s="3"/>
      <c r="P191" s="3"/>
      <c r="Q191" s="3"/>
    </row>
    <row r="192" customFormat="false" ht="15" hidden="false" customHeight="false" outlineLevel="0" collapsed="false">
      <c r="A192" s="2" t="s">
        <v>32</v>
      </c>
      <c r="B192" s="2" t="n">
        <v>3</v>
      </c>
      <c r="C192" s="2" t="n">
        <v>119</v>
      </c>
      <c r="D192" s="2" t="n">
        <v>1</v>
      </c>
      <c r="E192" s="2" t="n">
        <v>340</v>
      </c>
      <c r="F192" s="2" t="n">
        <v>60</v>
      </c>
      <c r="G192" s="2" t="s">
        <v>37</v>
      </c>
      <c r="H192" s="6" t="str">
        <f aca="false">A192&amp;"_"&amp;B192</f>
        <v>chauas_3</v>
      </c>
      <c r="I192" s="6" t="str">
        <f aca="false">H192&amp;"_"&amp;C192&amp;"_"&amp;G192</f>
        <v>chauas_3_119_Tabebuia cassinoides</v>
      </c>
      <c r="J192" s="6" t="n">
        <f aca="false">IF(COUNTIF($I$2:I192,I192)=1,1,0)</f>
        <v>1</v>
      </c>
      <c r="K192" s="6" t="n">
        <f aca="false">E192*$Q$2</f>
        <v>34</v>
      </c>
      <c r="L192" s="7" t="n">
        <f aca="false">K192/PI()</f>
        <v>10.8225361302489</v>
      </c>
      <c r="M192" s="8" t="n">
        <f aca="false">PI()*L192^2/40000</f>
        <v>0.00919915571071155</v>
      </c>
      <c r="N192" s="7" t="n">
        <f aca="false">F192*$Q$3</f>
        <v>6</v>
      </c>
      <c r="O192" s="3"/>
      <c r="P192" s="3"/>
      <c r="Q192" s="3"/>
    </row>
    <row r="193" customFormat="false" ht="15" hidden="false" customHeight="false" outlineLevel="0" collapsed="false">
      <c r="A193" s="2" t="s">
        <v>32</v>
      </c>
      <c r="B193" s="2" t="n">
        <v>3</v>
      </c>
      <c r="C193" s="2" t="n">
        <v>120</v>
      </c>
      <c r="D193" s="2" t="n">
        <v>1</v>
      </c>
      <c r="E193" s="2" t="n">
        <v>340</v>
      </c>
      <c r="F193" s="2" t="n">
        <v>70</v>
      </c>
      <c r="G193" s="2" t="s">
        <v>37</v>
      </c>
      <c r="H193" s="6" t="str">
        <f aca="false">A193&amp;"_"&amp;B193</f>
        <v>chauas_3</v>
      </c>
      <c r="I193" s="6" t="str">
        <f aca="false">H193&amp;"_"&amp;C193&amp;"_"&amp;G193</f>
        <v>chauas_3_120_Tabebuia cassinoides</v>
      </c>
      <c r="J193" s="6" t="n">
        <f aca="false">IF(COUNTIF($I$2:I193,I193)=1,1,0)</f>
        <v>1</v>
      </c>
      <c r="K193" s="6" t="n">
        <f aca="false">E193*$Q$2</f>
        <v>34</v>
      </c>
      <c r="L193" s="7" t="n">
        <f aca="false">K193/PI()</f>
        <v>10.8225361302489</v>
      </c>
      <c r="M193" s="8" t="n">
        <f aca="false">PI()*L193^2/40000</f>
        <v>0.00919915571071155</v>
      </c>
      <c r="N193" s="7" t="n">
        <f aca="false">F193*$Q$3</f>
        <v>7</v>
      </c>
      <c r="O193" s="3"/>
      <c r="P193" s="3"/>
      <c r="Q193" s="3"/>
    </row>
    <row r="194" customFormat="false" ht="15" hidden="false" customHeight="false" outlineLevel="0" collapsed="false">
      <c r="A194" s="2" t="s">
        <v>32</v>
      </c>
      <c r="B194" s="2" t="n">
        <v>3</v>
      </c>
      <c r="C194" s="2" t="n">
        <v>121</v>
      </c>
      <c r="D194" s="2" t="n">
        <v>1</v>
      </c>
      <c r="E194" s="2" t="n">
        <v>400</v>
      </c>
      <c r="F194" s="2" t="n">
        <v>110</v>
      </c>
      <c r="G194" s="2" t="s">
        <v>37</v>
      </c>
      <c r="H194" s="6" t="str">
        <f aca="false">A194&amp;"_"&amp;B194</f>
        <v>chauas_3</v>
      </c>
      <c r="I194" s="6" t="str">
        <f aca="false">H194&amp;"_"&amp;C194&amp;"_"&amp;G194</f>
        <v>chauas_3_121_Tabebuia cassinoides</v>
      </c>
      <c r="J194" s="6" t="n">
        <f aca="false">IF(COUNTIF($I$2:I194,I194)=1,1,0)</f>
        <v>1</v>
      </c>
      <c r="K194" s="6" t="n">
        <f aca="false">E194*$Q$2</f>
        <v>40</v>
      </c>
      <c r="L194" s="7" t="n">
        <f aca="false">K194/PI()</f>
        <v>12.7323954473516</v>
      </c>
      <c r="M194" s="8" t="n">
        <f aca="false">PI()*L194^2/40000</f>
        <v>0.0127323954473516</v>
      </c>
      <c r="N194" s="7" t="n">
        <f aca="false">F194*$Q$3</f>
        <v>11</v>
      </c>
      <c r="O194" s="3"/>
      <c r="P194" s="3"/>
      <c r="Q194" s="3"/>
    </row>
    <row r="195" customFormat="false" ht="15" hidden="false" customHeight="false" outlineLevel="0" collapsed="false">
      <c r="A195" s="2" t="s">
        <v>32</v>
      </c>
      <c r="B195" s="2" t="n">
        <v>3</v>
      </c>
      <c r="C195" s="2" t="n">
        <v>122</v>
      </c>
      <c r="D195" s="2" t="n">
        <v>1</v>
      </c>
      <c r="E195" s="2" t="n">
        <v>260</v>
      </c>
      <c r="F195" s="2" t="n">
        <v>50</v>
      </c>
      <c r="G195" s="2" t="s">
        <v>37</v>
      </c>
      <c r="H195" s="6" t="str">
        <f aca="false">A195&amp;"_"&amp;B195</f>
        <v>chauas_3</v>
      </c>
      <c r="I195" s="6" t="str">
        <f aca="false">H195&amp;"_"&amp;C195&amp;"_"&amp;G195</f>
        <v>chauas_3_122_Tabebuia cassinoides</v>
      </c>
      <c r="J195" s="6" t="n">
        <f aca="false">IF(COUNTIF($I$2:I195,I195)=1,1,0)</f>
        <v>1</v>
      </c>
      <c r="K195" s="6" t="n">
        <f aca="false">E195*$Q$2</f>
        <v>26</v>
      </c>
      <c r="L195" s="7" t="n">
        <f aca="false">K195/PI()</f>
        <v>8.27605704077856</v>
      </c>
      <c r="M195" s="8" t="n">
        <f aca="false">PI()*L195^2/40000</f>
        <v>0.00537943707650606</v>
      </c>
      <c r="N195" s="7" t="n">
        <f aca="false">F195*$Q$3</f>
        <v>5</v>
      </c>
      <c r="O195" s="3"/>
      <c r="P195" s="3"/>
      <c r="Q195" s="3"/>
    </row>
    <row r="196" customFormat="false" ht="15" hidden="false" customHeight="false" outlineLevel="0" collapsed="false">
      <c r="A196" s="2" t="s">
        <v>32</v>
      </c>
      <c r="B196" s="2" t="n">
        <v>3</v>
      </c>
      <c r="C196" s="2" t="n">
        <v>123</v>
      </c>
      <c r="D196" s="2" t="n">
        <v>1</v>
      </c>
      <c r="E196" s="2" t="n">
        <v>260</v>
      </c>
      <c r="F196" s="2" t="n">
        <v>70</v>
      </c>
      <c r="G196" s="2" t="s">
        <v>37</v>
      </c>
      <c r="H196" s="6" t="str">
        <f aca="false">A196&amp;"_"&amp;B196</f>
        <v>chauas_3</v>
      </c>
      <c r="I196" s="6" t="str">
        <f aca="false">H196&amp;"_"&amp;C196&amp;"_"&amp;G196</f>
        <v>chauas_3_123_Tabebuia cassinoides</v>
      </c>
      <c r="J196" s="6" t="n">
        <f aca="false">IF(COUNTIF($I$2:I196,I196)=1,1,0)</f>
        <v>1</v>
      </c>
      <c r="K196" s="6" t="n">
        <f aca="false">E196*$Q$2</f>
        <v>26</v>
      </c>
      <c r="L196" s="7" t="n">
        <f aca="false">K196/PI()</f>
        <v>8.27605704077856</v>
      </c>
      <c r="M196" s="8" t="n">
        <f aca="false">PI()*L196^2/40000</f>
        <v>0.00537943707650606</v>
      </c>
      <c r="N196" s="7" t="n">
        <f aca="false">F196*$Q$3</f>
        <v>7</v>
      </c>
      <c r="O196" s="3"/>
      <c r="P196" s="3"/>
      <c r="Q196" s="3"/>
    </row>
    <row r="197" customFormat="false" ht="15" hidden="false" customHeight="false" outlineLevel="0" collapsed="false">
      <c r="A197" s="2" t="s">
        <v>32</v>
      </c>
      <c r="B197" s="2" t="n">
        <v>3</v>
      </c>
      <c r="C197" s="2" t="n">
        <v>123</v>
      </c>
      <c r="D197" s="2" t="n">
        <v>1</v>
      </c>
      <c r="E197" s="2" t="n">
        <v>290</v>
      </c>
      <c r="F197" s="2" t="n">
        <v>70</v>
      </c>
      <c r="G197" s="2" t="s">
        <v>37</v>
      </c>
      <c r="H197" s="6" t="str">
        <f aca="false">A197&amp;"_"&amp;B197</f>
        <v>chauas_3</v>
      </c>
      <c r="I197" s="6" t="str">
        <f aca="false">H197&amp;"_"&amp;C197&amp;"_"&amp;G197</f>
        <v>chauas_3_123_Tabebuia cassinoides</v>
      </c>
      <c r="J197" s="6" t="n">
        <f aca="false">IF(COUNTIF($I$2:I197,I197)=1,1,0)</f>
        <v>0</v>
      </c>
      <c r="K197" s="6" t="n">
        <f aca="false">E197*$Q$2</f>
        <v>29</v>
      </c>
      <c r="L197" s="7" t="n">
        <f aca="false">K197/PI()</f>
        <v>9.23098669932993</v>
      </c>
      <c r="M197" s="8" t="n">
        <f aca="false">PI()*L197^2/40000</f>
        <v>0.0066924653570142</v>
      </c>
      <c r="N197" s="7" t="n">
        <f aca="false">F197*$Q$3</f>
        <v>7</v>
      </c>
      <c r="O197" s="3"/>
      <c r="P197" s="3"/>
      <c r="Q197" s="3"/>
    </row>
    <row r="198" customFormat="false" ht="15" hidden="false" customHeight="false" outlineLevel="0" collapsed="false">
      <c r="A198" s="2" t="s">
        <v>32</v>
      </c>
      <c r="B198" s="2" t="n">
        <v>3</v>
      </c>
      <c r="C198" s="2" t="n">
        <v>124</v>
      </c>
      <c r="D198" s="2" t="n">
        <v>1</v>
      </c>
      <c r="E198" s="2" t="n">
        <v>550</v>
      </c>
      <c r="F198" s="2" t="n">
        <v>90</v>
      </c>
      <c r="G198" s="2" t="s">
        <v>33</v>
      </c>
      <c r="H198" s="6" t="str">
        <f aca="false">A198&amp;"_"&amp;B198</f>
        <v>chauas_3</v>
      </c>
      <c r="I198" s="6" t="str">
        <f aca="false">H198&amp;"_"&amp;C198&amp;"_"&amp;G198</f>
        <v>chauas_3_124_Myrcia sulfiflora</v>
      </c>
      <c r="J198" s="6" t="n">
        <f aca="false">IF(COUNTIF($I$2:I198,I198)=1,1,0)</f>
        <v>1</v>
      </c>
      <c r="K198" s="6" t="n">
        <f aca="false">E198*$Q$2</f>
        <v>55</v>
      </c>
      <c r="L198" s="7" t="n">
        <f aca="false">K198/PI()</f>
        <v>17.5070437401085</v>
      </c>
      <c r="M198" s="8" t="n">
        <f aca="false">PI()*L198^2/40000</f>
        <v>0.0240721851426492</v>
      </c>
      <c r="N198" s="7" t="n">
        <f aca="false">F198*$Q$3</f>
        <v>9</v>
      </c>
      <c r="O198" s="3"/>
      <c r="P198" s="3"/>
      <c r="Q198" s="3"/>
    </row>
    <row r="199" customFormat="false" ht="15" hidden="false" customHeight="false" outlineLevel="0" collapsed="false">
      <c r="A199" s="2" t="s">
        <v>32</v>
      </c>
      <c r="B199" s="2" t="n">
        <v>3</v>
      </c>
      <c r="C199" s="2" t="n">
        <v>125</v>
      </c>
      <c r="D199" s="2" t="n">
        <v>1</v>
      </c>
      <c r="E199" s="2" t="n">
        <v>270</v>
      </c>
      <c r="F199" s="2" t="n">
        <v>60</v>
      </c>
      <c r="G199" s="2" t="s">
        <v>37</v>
      </c>
      <c r="H199" s="6" t="str">
        <f aca="false">A199&amp;"_"&amp;B199</f>
        <v>chauas_3</v>
      </c>
      <c r="I199" s="6" t="str">
        <f aca="false">H199&amp;"_"&amp;C199&amp;"_"&amp;G199</f>
        <v>chauas_3_125_Tabebuia cassinoides</v>
      </c>
      <c r="J199" s="6" t="n">
        <f aca="false">IF(COUNTIF($I$2:I199,I199)=1,1,0)</f>
        <v>1</v>
      </c>
      <c r="K199" s="6" t="n">
        <f aca="false">E199*$Q$2</f>
        <v>27</v>
      </c>
      <c r="L199" s="7" t="n">
        <f aca="false">K199/PI()</f>
        <v>8.59436692696235</v>
      </c>
      <c r="M199" s="8" t="n">
        <f aca="false">PI()*L199^2/40000</f>
        <v>0.00580119767569958</v>
      </c>
      <c r="N199" s="7" t="n">
        <f aca="false">F199*$Q$3</f>
        <v>6</v>
      </c>
      <c r="O199" s="3"/>
      <c r="P199" s="3"/>
      <c r="Q199" s="3"/>
    </row>
    <row r="200" customFormat="false" ht="15" hidden="false" customHeight="false" outlineLevel="0" collapsed="false">
      <c r="A200" s="2" t="s">
        <v>32</v>
      </c>
      <c r="B200" s="2" t="n">
        <v>3</v>
      </c>
      <c r="C200" s="2" t="n">
        <v>125</v>
      </c>
      <c r="D200" s="2" t="n">
        <v>1</v>
      </c>
      <c r="E200" s="2" t="n">
        <v>210</v>
      </c>
      <c r="F200" s="2" t="n">
        <v>60</v>
      </c>
      <c r="G200" s="2" t="s">
        <v>37</v>
      </c>
      <c r="H200" s="6" t="str">
        <f aca="false">A200&amp;"_"&amp;B200</f>
        <v>chauas_3</v>
      </c>
      <c r="I200" s="6" t="str">
        <f aca="false">H200&amp;"_"&amp;C200&amp;"_"&amp;G200</f>
        <v>chauas_3_125_Tabebuia cassinoides</v>
      </c>
      <c r="J200" s="6" t="n">
        <f aca="false">IF(COUNTIF($I$2:I200,I200)=1,1,0)</f>
        <v>0</v>
      </c>
      <c r="K200" s="6" t="n">
        <f aca="false">E200*$Q$2</f>
        <v>21</v>
      </c>
      <c r="L200" s="7" t="n">
        <f aca="false">K200/PI()</f>
        <v>6.68450760985961</v>
      </c>
      <c r="M200" s="8" t="n">
        <f aca="false">PI()*L200^2/40000</f>
        <v>0.00350936649517629</v>
      </c>
      <c r="N200" s="7" t="n">
        <f aca="false">F200*$Q$3</f>
        <v>6</v>
      </c>
      <c r="O200" s="3"/>
      <c r="P200" s="3"/>
      <c r="Q200" s="3"/>
    </row>
    <row r="201" customFormat="false" ht="15" hidden="false" customHeight="false" outlineLevel="0" collapsed="false">
      <c r="A201" s="2" t="s">
        <v>32</v>
      </c>
      <c r="B201" s="2" t="n">
        <v>3</v>
      </c>
      <c r="C201" s="2" t="n">
        <v>126</v>
      </c>
      <c r="D201" s="2" t="n">
        <v>1</v>
      </c>
      <c r="E201" s="2" t="n">
        <v>280</v>
      </c>
      <c r="F201" s="2" t="n">
        <v>80</v>
      </c>
      <c r="G201" s="2" t="s">
        <v>33</v>
      </c>
      <c r="H201" s="6" t="str">
        <f aca="false">A201&amp;"_"&amp;B201</f>
        <v>chauas_3</v>
      </c>
      <c r="I201" s="6" t="str">
        <f aca="false">H201&amp;"_"&amp;C201&amp;"_"&amp;G201</f>
        <v>chauas_3_126_Myrcia sulfiflora</v>
      </c>
      <c r="J201" s="6" t="n">
        <f aca="false">IF(COUNTIF($I$2:I201,I201)=1,1,0)</f>
        <v>1</v>
      </c>
      <c r="K201" s="6" t="n">
        <f aca="false">E201*$Q$2</f>
        <v>28</v>
      </c>
      <c r="L201" s="7" t="n">
        <f aca="false">K201/PI()</f>
        <v>8.91267681314614</v>
      </c>
      <c r="M201" s="8" t="n">
        <f aca="false">PI()*L201^2/40000</f>
        <v>0.0062388737692023</v>
      </c>
      <c r="N201" s="7" t="n">
        <f aca="false">F201*$Q$3</f>
        <v>8</v>
      </c>
      <c r="O201" s="3"/>
      <c r="P201" s="3"/>
      <c r="Q201" s="3"/>
    </row>
    <row r="202" customFormat="false" ht="15" hidden="false" customHeight="false" outlineLevel="0" collapsed="false">
      <c r="A202" s="2" t="s">
        <v>32</v>
      </c>
      <c r="B202" s="2" t="n">
        <v>3</v>
      </c>
      <c r="C202" s="2" t="n">
        <v>127</v>
      </c>
      <c r="D202" s="2" t="n">
        <v>1</v>
      </c>
      <c r="E202" s="2" t="n">
        <v>190</v>
      </c>
      <c r="F202" s="2" t="n">
        <v>70</v>
      </c>
      <c r="G202" s="2" t="s">
        <v>37</v>
      </c>
      <c r="H202" s="6" t="str">
        <f aca="false">A202&amp;"_"&amp;B202</f>
        <v>chauas_3</v>
      </c>
      <c r="I202" s="6" t="str">
        <f aca="false">H202&amp;"_"&amp;C202&amp;"_"&amp;G202</f>
        <v>chauas_3_127_Tabebuia cassinoides</v>
      </c>
      <c r="J202" s="6" t="n">
        <f aca="false">IF(COUNTIF($I$2:I202,I202)=1,1,0)</f>
        <v>1</v>
      </c>
      <c r="K202" s="6" t="n">
        <f aca="false">E202*$Q$2</f>
        <v>19</v>
      </c>
      <c r="L202" s="7" t="n">
        <f aca="false">K202/PI()</f>
        <v>6.04788783749202</v>
      </c>
      <c r="M202" s="8" t="n">
        <f aca="false">PI()*L202^2/40000</f>
        <v>0.00287274672280871</v>
      </c>
      <c r="N202" s="7" t="n">
        <f aca="false">F202*$Q$3</f>
        <v>7</v>
      </c>
      <c r="O202" s="3"/>
      <c r="P202" s="3"/>
      <c r="Q202" s="3"/>
    </row>
    <row r="203" customFormat="false" ht="15" hidden="false" customHeight="false" outlineLevel="0" collapsed="false">
      <c r="A203" s="2" t="s">
        <v>32</v>
      </c>
      <c r="B203" s="2" t="n">
        <v>3</v>
      </c>
      <c r="C203" s="2" t="n">
        <v>127</v>
      </c>
      <c r="D203" s="2" t="n">
        <v>2</v>
      </c>
      <c r="E203" s="2" t="n">
        <v>200</v>
      </c>
      <c r="F203" s="2" t="n">
        <v>70</v>
      </c>
      <c r="G203" s="2" t="s">
        <v>37</v>
      </c>
      <c r="H203" s="6" t="str">
        <f aca="false">A203&amp;"_"&amp;B203</f>
        <v>chauas_3</v>
      </c>
      <c r="I203" s="6" t="str">
        <f aca="false">H203&amp;"_"&amp;C203&amp;"_"&amp;G203</f>
        <v>chauas_3_127_Tabebuia cassinoides</v>
      </c>
      <c r="J203" s="6" t="n">
        <f aca="false">IF(COUNTIF($I$2:I203,I203)=1,1,0)</f>
        <v>0</v>
      </c>
      <c r="K203" s="6" t="n">
        <f aca="false">E203*$Q$2</f>
        <v>20</v>
      </c>
      <c r="L203" s="7" t="n">
        <f aca="false">K203/PI()</f>
        <v>6.36619772367581</v>
      </c>
      <c r="M203" s="8" t="n">
        <f aca="false">PI()*L203^2/40000</f>
        <v>0.00318309886183791</v>
      </c>
      <c r="N203" s="7" t="n">
        <f aca="false">F203*$Q$3</f>
        <v>7</v>
      </c>
      <c r="O203" s="3"/>
      <c r="P203" s="3"/>
      <c r="Q203" s="3"/>
    </row>
    <row r="204" customFormat="false" ht="15" hidden="false" customHeight="false" outlineLevel="0" collapsed="false">
      <c r="A204" s="2" t="s">
        <v>32</v>
      </c>
      <c r="B204" s="2" t="n">
        <v>3</v>
      </c>
      <c r="C204" s="2" t="n">
        <v>128</v>
      </c>
      <c r="D204" s="2" t="n">
        <v>1</v>
      </c>
      <c r="E204" s="2" t="n">
        <v>330</v>
      </c>
      <c r="F204" s="2" t="n">
        <v>120</v>
      </c>
      <c r="G204" s="2" t="s">
        <v>37</v>
      </c>
      <c r="H204" s="6" t="str">
        <f aca="false">A204&amp;"_"&amp;B204</f>
        <v>chauas_3</v>
      </c>
      <c r="I204" s="6" t="str">
        <f aca="false">H204&amp;"_"&amp;C204&amp;"_"&amp;G204</f>
        <v>chauas_3_128_Tabebuia cassinoides</v>
      </c>
      <c r="J204" s="6" t="n">
        <f aca="false">IF(COUNTIF($I$2:I204,I204)=1,1,0)</f>
        <v>1</v>
      </c>
      <c r="K204" s="6" t="n">
        <f aca="false">E204*$Q$2</f>
        <v>33</v>
      </c>
      <c r="L204" s="7" t="n">
        <f aca="false">K204/PI()</f>
        <v>10.5042262440651</v>
      </c>
      <c r="M204" s="8" t="n">
        <f aca="false">PI()*L204^2/40000</f>
        <v>0.0086659866513537</v>
      </c>
      <c r="N204" s="7" t="n">
        <f aca="false">F204*$Q$3</f>
        <v>12</v>
      </c>
      <c r="O204" s="3"/>
      <c r="P204" s="3"/>
      <c r="Q204" s="3"/>
    </row>
    <row r="205" customFormat="false" ht="15" hidden="false" customHeight="false" outlineLevel="0" collapsed="false">
      <c r="A205" s="2" t="s">
        <v>32</v>
      </c>
      <c r="B205" s="2" t="n">
        <v>3</v>
      </c>
      <c r="C205" s="2" t="n">
        <v>128</v>
      </c>
      <c r="D205" s="2" t="n">
        <v>1</v>
      </c>
      <c r="E205" s="2" t="n">
        <v>310</v>
      </c>
      <c r="F205" s="2" t="n">
        <v>120</v>
      </c>
      <c r="G205" s="2" t="s">
        <v>37</v>
      </c>
      <c r="H205" s="6" t="str">
        <f aca="false">A205&amp;"_"&amp;B205</f>
        <v>chauas_3</v>
      </c>
      <c r="I205" s="6" t="str">
        <f aca="false">H205&amp;"_"&amp;C205&amp;"_"&amp;G205</f>
        <v>chauas_3_128_Tabebuia cassinoides</v>
      </c>
      <c r="J205" s="6" t="n">
        <f aca="false">IF(COUNTIF($I$2:I205,I205)=1,1,0)</f>
        <v>0</v>
      </c>
      <c r="K205" s="6" t="n">
        <f aca="false">E205*$Q$2</f>
        <v>31</v>
      </c>
      <c r="L205" s="7" t="n">
        <f aca="false">K205/PI()</f>
        <v>9.86760647169751</v>
      </c>
      <c r="M205" s="8" t="n">
        <f aca="false">PI()*L205^2/40000</f>
        <v>0.00764739501556557</v>
      </c>
      <c r="N205" s="7" t="n">
        <f aca="false">F205*$Q$3</f>
        <v>12</v>
      </c>
      <c r="O205" s="3"/>
      <c r="P205" s="3"/>
      <c r="Q205" s="3"/>
    </row>
    <row r="206" customFormat="false" ht="15" hidden="false" customHeight="false" outlineLevel="0" collapsed="false">
      <c r="A206" s="2" t="s">
        <v>32</v>
      </c>
      <c r="B206" s="2" t="n">
        <v>3</v>
      </c>
      <c r="C206" s="2" t="n">
        <v>129</v>
      </c>
      <c r="D206" s="2" t="n">
        <v>1</v>
      </c>
      <c r="E206" s="2" t="n">
        <v>260</v>
      </c>
      <c r="F206" s="2" t="n">
        <v>80</v>
      </c>
      <c r="G206" s="2" t="s">
        <v>37</v>
      </c>
      <c r="H206" s="6" t="str">
        <f aca="false">A206&amp;"_"&amp;B206</f>
        <v>chauas_3</v>
      </c>
      <c r="I206" s="6" t="str">
        <f aca="false">H206&amp;"_"&amp;C206&amp;"_"&amp;G206</f>
        <v>chauas_3_129_Tabebuia cassinoides</v>
      </c>
      <c r="J206" s="6" t="n">
        <f aca="false">IF(COUNTIF($I$2:I206,I206)=1,1,0)</f>
        <v>1</v>
      </c>
      <c r="K206" s="6" t="n">
        <f aca="false">E206*$Q$2</f>
        <v>26</v>
      </c>
      <c r="L206" s="7" t="n">
        <f aca="false">K206/PI()</f>
        <v>8.27605704077856</v>
      </c>
      <c r="M206" s="8" t="n">
        <f aca="false">PI()*L206^2/40000</f>
        <v>0.00537943707650606</v>
      </c>
      <c r="N206" s="7" t="n">
        <f aca="false">F206*$Q$3</f>
        <v>8</v>
      </c>
      <c r="O206" s="3"/>
      <c r="P206" s="3"/>
      <c r="Q206" s="3"/>
    </row>
    <row r="207" customFormat="false" ht="15" hidden="false" customHeight="false" outlineLevel="0" collapsed="false">
      <c r="A207" s="2" t="s">
        <v>32</v>
      </c>
      <c r="B207" s="2" t="n">
        <v>3</v>
      </c>
      <c r="C207" s="2" t="n">
        <v>129</v>
      </c>
      <c r="D207" s="2" t="n">
        <v>1</v>
      </c>
      <c r="E207" s="2" t="n">
        <v>230</v>
      </c>
      <c r="F207" s="2" t="n">
        <v>80</v>
      </c>
      <c r="G207" s="2" t="s">
        <v>37</v>
      </c>
      <c r="H207" s="6" t="str">
        <f aca="false">A207&amp;"_"&amp;B207</f>
        <v>chauas_3</v>
      </c>
      <c r="I207" s="6" t="str">
        <f aca="false">H207&amp;"_"&amp;C207&amp;"_"&amp;G207</f>
        <v>chauas_3_129_Tabebuia cassinoides</v>
      </c>
      <c r="J207" s="6" t="n">
        <f aca="false">IF(COUNTIF($I$2:I207,I207)=1,1,0)</f>
        <v>0</v>
      </c>
      <c r="K207" s="6" t="n">
        <f aca="false">E207*$Q$2</f>
        <v>23</v>
      </c>
      <c r="L207" s="7" t="n">
        <f aca="false">K207/PI()</f>
        <v>7.32112738222719</v>
      </c>
      <c r="M207" s="8" t="n">
        <f aca="false">PI()*L207^2/40000</f>
        <v>0.00420964824478063</v>
      </c>
      <c r="N207" s="7" t="n">
        <f aca="false">F207*$Q$3</f>
        <v>8</v>
      </c>
      <c r="O207" s="3"/>
      <c r="P207" s="3"/>
      <c r="Q207" s="3"/>
    </row>
    <row r="208" customFormat="false" ht="15" hidden="false" customHeight="false" outlineLevel="0" collapsed="false">
      <c r="A208" s="2" t="s">
        <v>32</v>
      </c>
      <c r="B208" s="2" t="n">
        <v>3</v>
      </c>
      <c r="C208" s="2" t="n">
        <v>130</v>
      </c>
      <c r="D208" s="2" t="n">
        <v>1</v>
      </c>
      <c r="E208" s="2" t="n">
        <v>230</v>
      </c>
      <c r="F208" s="2" t="n">
        <v>90</v>
      </c>
      <c r="G208" s="2" t="s">
        <v>37</v>
      </c>
      <c r="H208" s="6" t="str">
        <f aca="false">A208&amp;"_"&amp;B208</f>
        <v>chauas_3</v>
      </c>
      <c r="I208" s="6" t="str">
        <f aca="false">H208&amp;"_"&amp;C208&amp;"_"&amp;G208</f>
        <v>chauas_3_130_Tabebuia cassinoides</v>
      </c>
      <c r="J208" s="6" t="n">
        <f aca="false">IF(COUNTIF($I$2:I208,I208)=1,1,0)</f>
        <v>1</v>
      </c>
      <c r="K208" s="6" t="n">
        <f aca="false">E208*$Q$2</f>
        <v>23</v>
      </c>
      <c r="L208" s="7" t="n">
        <f aca="false">K208/PI()</f>
        <v>7.32112738222719</v>
      </c>
      <c r="M208" s="8" t="n">
        <f aca="false">PI()*L208^2/40000</f>
        <v>0.00420964824478063</v>
      </c>
      <c r="N208" s="7" t="n">
        <f aca="false">F208*$Q$3</f>
        <v>9</v>
      </c>
      <c r="O208" s="3"/>
      <c r="P208" s="3"/>
      <c r="Q208" s="3"/>
    </row>
    <row r="209" customFormat="false" ht="15" hidden="false" customHeight="false" outlineLevel="0" collapsed="false">
      <c r="A209" s="2" t="s">
        <v>32</v>
      </c>
      <c r="B209" s="2" t="n">
        <v>3</v>
      </c>
      <c r="C209" s="2" t="n">
        <v>130</v>
      </c>
      <c r="D209" s="2" t="n">
        <v>2</v>
      </c>
      <c r="E209" s="2" t="n">
        <v>170</v>
      </c>
      <c r="F209" s="2" t="n">
        <v>90</v>
      </c>
      <c r="G209" s="2" t="s">
        <v>37</v>
      </c>
      <c r="H209" s="6" t="str">
        <f aca="false">A209&amp;"_"&amp;B209</f>
        <v>chauas_3</v>
      </c>
      <c r="I209" s="6" t="str">
        <f aca="false">H209&amp;"_"&amp;C209&amp;"_"&amp;G209</f>
        <v>chauas_3_130_Tabebuia cassinoides</v>
      </c>
      <c r="J209" s="6" t="n">
        <f aca="false">IF(COUNTIF($I$2:I209,I209)=1,1,0)</f>
        <v>0</v>
      </c>
      <c r="K209" s="6" t="n">
        <f aca="false">E209*$Q$2</f>
        <v>17</v>
      </c>
      <c r="L209" s="7" t="n">
        <f aca="false">K209/PI()</f>
        <v>5.41126806512444</v>
      </c>
      <c r="M209" s="8" t="n">
        <f aca="false">PI()*L209^2/40000</f>
        <v>0.00229978892767789</v>
      </c>
      <c r="N209" s="7" t="n">
        <f aca="false">F209*$Q$3</f>
        <v>9</v>
      </c>
      <c r="O209" s="3"/>
      <c r="P209" s="3"/>
      <c r="Q209" s="3"/>
    </row>
    <row r="210" customFormat="false" ht="15" hidden="false" customHeight="false" outlineLevel="0" collapsed="false">
      <c r="A210" s="2" t="s">
        <v>32</v>
      </c>
      <c r="B210" s="2" t="n">
        <v>3</v>
      </c>
      <c r="C210" s="2" t="n">
        <v>131</v>
      </c>
      <c r="D210" s="2" t="n">
        <v>1</v>
      </c>
      <c r="E210" s="2" t="n">
        <v>280</v>
      </c>
      <c r="F210" s="2" t="n">
        <v>50</v>
      </c>
      <c r="G210" s="2" t="s">
        <v>37</v>
      </c>
      <c r="H210" s="6" t="str">
        <f aca="false">A210&amp;"_"&amp;B210</f>
        <v>chauas_3</v>
      </c>
      <c r="I210" s="6" t="str">
        <f aca="false">H210&amp;"_"&amp;C210&amp;"_"&amp;G210</f>
        <v>chauas_3_131_Tabebuia cassinoides</v>
      </c>
      <c r="J210" s="6" t="n">
        <f aca="false">IF(COUNTIF($I$2:I210,I210)=1,1,0)</f>
        <v>1</v>
      </c>
      <c r="K210" s="6" t="n">
        <f aca="false">E210*$Q$2</f>
        <v>28</v>
      </c>
      <c r="L210" s="7" t="n">
        <f aca="false">K210/PI()</f>
        <v>8.91267681314614</v>
      </c>
      <c r="M210" s="8" t="n">
        <f aca="false">PI()*L210^2/40000</f>
        <v>0.0062388737692023</v>
      </c>
      <c r="N210" s="7" t="n">
        <f aca="false">F210*$Q$3</f>
        <v>5</v>
      </c>
      <c r="O210" s="3"/>
      <c r="P210" s="3"/>
      <c r="Q210" s="3"/>
    </row>
    <row r="211" customFormat="false" ht="15" hidden="false" customHeight="false" outlineLevel="0" collapsed="false">
      <c r="A211" s="2" t="s">
        <v>32</v>
      </c>
      <c r="B211" s="2" t="n">
        <v>3</v>
      </c>
      <c r="C211" s="2" t="n">
        <v>132</v>
      </c>
      <c r="D211" s="2" t="n">
        <v>1</v>
      </c>
      <c r="E211" s="2" t="n">
        <v>290</v>
      </c>
      <c r="F211" s="2" t="n">
        <v>60</v>
      </c>
      <c r="G211" s="2" t="s">
        <v>37</v>
      </c>
      <c r="H211" s="6" t="str">
        <f aca="false">A211&amp;"_"&amp;B211</f>
        <v>chauas_3</v>
      </c>
      <c r="I211" s="6" t="str">
        <f aca="false">H211&amp;"_"&amp;C211&amp;"_"&amp;G211</f>
        <v>chauas_3_132_Tabebuia cassinoides</v>
      </c>
      <c r="J211" s="6" t="n">
        <f aca="false">IF(COUNTIF($I$2:I211,I211)=1,1,0)</f>
        <v>1</v>
      </c>
      <c r="K211" s="6" t="n">
        <f aca="false">E211*$Q$2</f>
        <v>29</v>
      </c>
      <c r="L211" s="7" t="n">
        <f aca="false">K211/PI()</f>
        <v>9.23098669932993</v>
      </c>
      <c r="M211" s="8" t="n">
        <f aca="false">PI()*L211^2/40000</f>
        <v>0.0066924653570142</v>
      </c>
      <c r="N211" s="7" t="n">
        <f aca="false">F211*$Q$3</f>
        <v>6</v>
      </c>
      <c r="O211" s="3"/>
      <c r="P211" s="3"/>
      <c r="Q211" s="3"/>
    </row>
    <row r="212" customFormat="false" ht="15" hidden="false" customHeight="false" outlineLevel="0" collapsed="false">
      <c r="A212" s="2" t="s">
        <v>32</v>
      </c>
      <c r="B212" s="2" t="n">
        <v>3</v>
      </c>
      <c r="C212" s="2" t="n">
        <v>132</v>
      </c>
      <c r="D212" s="2" t="n">
        <v>2</v>
      </c>
      <c r="E212" s="2" t="n">
        <v>160</v>
      </c>
      <c r="F212" s="2" t="n">
        <v>60</v>
      </c>
      <c r="G212" s="2" t="s">
        <v>37</v>
      </c>
      <c r="H212" s="6" t="str">
        <f aca="false">A212&amp;"_"&amp;B212</f>
        <v>chauas_3</v>
      </c>
      <c r="I212" s="6" t="str">
        <f aca="false">H212&amp;"_"&amp;C212&amp;"_"&amp;G212</f>
        <v>chauas_3_132_Tabebuia cassinoides</v>
      </c>
      <c r="J212" s="6" t="n">
        <f aca="false">IF(COUNTIF($I$2:I212,I212)=1,1,0)</f>
        <v>0</v>
      </c>
      <c r="K212" s="6" t="n">
        <f aca="false">E212*$Q$2</f>
        <v>16</v>
      </c>
      <c r="L212" s="7" t="n">
        <f aca="false">K212/PI()</f>
        <v>5.09295817894065</v>
      </c>
      <c r="M212" s="8" t="n">
        <f aca="false">PI()*L212^2/40000</f>
        <v>0.00203718327157626</v>
      </c>
      <c r="N212" s="7" t="n">
        <f aca="false">F212*$Q$3</f>
        <v>6</v>
      </c>
      <c r="O212" s="3"/>
      <c r="P212" s="3"/>
      <c r="Q212" s="3"/>
    </row>
    <row r="213" customFormat="false" ht="15" hidden="false" customHeight="false" outlineLevel="0" collapsed="false">
      <c r="A213" s="2" t="s">
        <v>32</v>
      </c>
      <c r="B213" s="2" t="n">
        <v>3</v>
      </c>
      <c r="C213" s="2" t="n">
        <v>133</v>
      </c>
      <c r="D213" s="2" t="n">
        <v>1</v>
      </c>
      <c r="E213" s="2" t="n">
        <v>410</v>
      </c>
      <c r="F213" s="2" t="n">
        <v>90</v>
      </c>
      <c r="G213" s="2" t="s">
        <v>33</v>
      </c>
      <c r="H213" s="6" t="str">
        <f aca="false">A213&amp;"_"&amp;B213</f>
        <v>chauas_3</v>
      </c>
      <c r="I213" s="6" t="str">
        <f aca="false">H213&amp;"_"&amp;C213&amp;"_"&amp;G213</f>
        <v>chauas_3_133_Myrcia sulfiflora</v>
      </c>
      <c r="J213" s="6" t="n">
        <f aca="false">IF(COUNTIF($I$2:I213,I213)=1,1,0)</f>
        <v>1</v>
      </c>
      <c r="K213" s="6" t="n">
        <f aca="false">E213*$Q$2</f>
        <v>41</v>
      </c>
      <c r="L213" s="7" t="n">
        <f aca="false">K213/PI()</f>
        <v>13.0507053335354</v>
      </c>
      <c r="M213" s="8" t="n">
        <f aca="false">PI()*L213^2/40000</f>
        <v>0.0133769729668738</v>
      </c>
      <c r="N213" s="7" t="n">
        <f aca="false">F213*$Q$3</f>
        <v>9</v>
      </c>
      <c r="O213" s="3"/>
      <c r="P213" s="3"/>
      <c r="Q213" s="3"/>
    </row>
    <row r="214" customFormat="false" ht="15" hidden="false" customHeight="false" outlineLevel="0" collapsed="false">
      <c r="A214" s="2" t="s">
        <v>32</v>
      </c>
      <c r="B214" s="2" t="n">
        <v>3</v>
      </c>
      <c r="C214" s="2" t="n">
        <v>134</v>
      </c>
      <c r="D214" s="2" t="n">
        <v>1</v>
      </c>
      <c r="E214" s="2" t="n">
        <v>230</v>
      </c>
      <c r="F214" s="2" t="n">
        <v>70</v>
      </c>
      <c r="G214" s="2" t="s">
        <v>37</v>
      </c>
      <c r="H214" s="6" t="str">
        <f aca="false">A214&amp;"_"&amp;B214</f>
        <v>chauas_3</v>
      </c>
      <c r="I214" s="6" t="str">
        <f aca="false">H214&amp;"_"&amp;C214&amp;"_"&amp;G214</f>
        <v>chauas_3_134_Tabebuia cassinoides</v>
      </c>
      <c r="J214" s="6" t="n">
        <f aca="false">IF(COUNTIF($I$2:I214,I214)=1,1,0)</f>
        <v>1</v>
      </c>
      <c r="K214" s="6" t="n">
        <f aca="false">E214*$Q$2</f>
        <v>23</v>
      </c>
      <c r="L214" s="7" t="n">
        <f aca="false">K214/PI()</f>
        <v>7.32112738222719</v>
      </c>
      <c r="M214" s="8" t="n">
        <f aca="false">PI()*L214^2/40000</f>
        <v>0.00420964824478063</v>
      </c>
      <c r="N214" s="7" t="n">
        <f aca="false">F214*$Q$3</f>
        <v>7</v>
      </c>
      <c r="O214" s="3"/>
      <c r="P214" s="3"/>
      <c r="Q214" s="3"/>
    </row>
    <row r="215" customFormat="false" ht="15" hidden="false" customHeight="false" outlineLevel="0" collapsed="false">
      <c r="A215" s="2" t="s">
        <v>32</v>
      </c>
      <c r="B215" s="2" t="n">
        <v>3</v>
      </c>
      <c r="C215" s="2" t="n">
        <v>134</v>
      </c>
      <c r="D215" s="2" t="n">
        <v>2</v>
      </c>
      <c r="E215" s="2" t="n">
        <v>190</v>
      </c>
      <c r="F215" s="2" t="n">
        <v>70</v>
      </c>
      <c r="G215" s="2" t="s">
        <v>37</v>
      </c>
      <c r="H215" s="6" t="str">
        <f aca="false">A215&amp;"_"&amp;B215</f>
        <v>chauas_3</v>
      </c>
      <c r="I215" s="6" t="str">
        <f aca="false">H215&amp;"_"&amp;C215&amp;"_"&amp;G215</f>
        <v>chauas_3_134_Tabebuia cassinoides</v>
      </c>
      <c r="J215" s="6" t="n">
        <f aca="false">IF(COUNTIF($I$2:I215,I215)=1,1,0)</f>
        <v>0</v>
      </c>
      <c r="K215" s="6" t="n">
        <f aca="false">E215*$Q$2</f>
        <v>19</v>
      </c>
      <c r="L215" s="7" t="n">
        <f aca="false">K215/PI()</f>
        <v>6.04788783749202</v>
      </c>
      <c r="M215" s="8" t="n">
        <f aca="false">PI()*L215^2/40000</f>
        <v>0.00287274672280871</v>
      </c>
      <c r="N215" s="7" t="n">
        <f aca="false">F215*$Q$3</f>
        <v>7</v>
      </c>
      <c r="O215" s="3"/>
      <c r="P215" s="3"/>
      <c r="Q215" s="3"/>
    </row>
    <row r="216" customFormat="false" ht="15" hidden="false" customHeight="false" outlineLevel="0" collapsed="false">
      <c r="A216" s="2" t="s">
        <v>32</v>
      </c>
      <c r="B216" s="2" t="n">
        <v>3</v>
      </c>
      <c r="C216" s="2" t="n">
        <v>135</v>
      </c>
      <c r="D216" s="2" t="n">
        <v>1</v>
      </c>
      <c r="E216" s="2" t="n">
        <v>340</v>
      </c>
      <c r="F216" s="2" t="n">
        <v>110</v>
      </c>
      <c r="G216" s="2" t="s">
        <v>37</v>
      </c>
      <c r="H216" s="6" t="str">
        <f aca="false">A216&amp;"_"&amp;B216</f>
        <v>chauas_3</v>
      </c>
      <c r="I216" s="6" t="str">
        <f aca="false">H216&amp;"_"&amp;C216&amp;"_"&amp;G216</f>
        <v>chauas_3_135_Tabebuia cassinoides</v>
      </c>
      <c r="J216" s="6" t="n">
        <f aca="false">IF(COUNTIF($I$2:I216,I216)=1,1,0)</f>
        <v>1</v>
      </c>
      <c r="K216" s="6" t="n">
        <f aca="false">E216*$Q$2</f>
        <v>34</v>
      </c>
      <c r="L216" s="7" t="n">
        <f aca="false">K216/PI()</f>
        <v>10.8225361302489</v>
      </c>
      <c r="M216" s="8" t="n">
        <f aca="false">PI()*L216^2/40000</f>
        <v>0.00919915571071155</v>
      </c>
      <c r="N216" s="7" t="n">
        <f aca="false">F216*$Q$3</f>
        <v>11</v>
      </c>
      <c r="O216" s="3"/>
      <c r="P216" s="3"/>
      <c r="Q216" s="3"/>
    </row>
    <row r="217" customFormat="false" ht="15" hidden="false" customHeight="false" outlineLevel="0" collapsed="false">
      <c r="A217" s="2" t="s">
        <v>32</v>
      </c>
      <c r="B217" s="2" t="n">
        <v>3</v>
      </c>
      <c r="C217" s="2" t="n">
        <v>136</v>
      </c>
      <c r="D217" s="2" t="n">
        <v>1</v>
      </c>
      <c r="E217" s="2" t="n">
        <v>160</v>
      </c>
      <c r="F217" s="2" t="n">
        <v>90</v>
      </c>
      <c r="G217" s="2" t="s">
        <v>37</v>
      </c>
      <c r="H217" s="6" t="str">
        <f aca="false">A217&amp;"_"&amp;B217</f>
        <v>chauas_3</v>
      </c>
      <c r="I217" s="6" t="str">
        <f aca="false">H217&amp;"_"&amp;C217&amp;"_"&amp;G217</f>
        <v>chauas_3_136_Tabebuia cassinoides</v>
      </c>
      <c r="J217" s="6" t="n">
        <f aca="false">IF(COUNTIF($I$2:I217,I217)=1,1,0)</f>
        <v>1</v>
      </c>
      <c r="K217" s="6" t="n">
        <f aca="false">E217*$Q$2</f>
        <v>16</v>
      </c>
      <c r="L217" s="7" t="n">
        <f aca="false">K217/PI()</f>
        <v>5.09295817894065</v>
      </c>
      <c r="M217" s="8" t="n">
        <f aca="false">PI()*L217^2/40000</f>
        <v>0.00203718327157626</v>
      </c>
      <c r="N217" s="7" t="n">
        <f aca="false">F217*$Q$3</f>
        <v>9</v>
      </c>
      <c r="O217" s="3"/>
      <c r="P217" s="3"/>
      <c r="Q217" s="3"/>
    </row>
    <row r="218" customFormat="false" ht="15" hidden="false" customHeight="false" outlineLevel="0" collapsed="false">
      <c r="A218" s="2" t="s">
        <v>32</v>
      </c>
      <c r="B218" s="2" t="n">
        <v>3</v>
      </c>
      <c r="C218" s="2" t="n">
        <v>136</v>
      </c>
      <c r="D218" s="2" t="n">
        <v>2</v>
      </c>
      <c r="E218" s="2" t="n">
        <v>360</v>
      </c>
      <c r="F218" s="2" t="n">
        <v>90</v>
      </c>
      <c r="G218" s="2" t="s">
        <v>37</v>
      </c>
      <c r="H218" s="6" t="str">
        <f aca="false">A218&amp;"_"&amp;B218</f>
        <v>chauas_3</v>
      </c>
      <c r="I218" s="6" t="str">
        <f aca="false">H218&amp;"_"&amp;C218&amp;"_"&amp;G218</f>
        <v>chauas_3_136_Tabebuia cassinoides</v>
      </c>
      <c r="J218" s="6" t="n">
        <f aca="false">IF(COUNTIF($I$2:I218,I218)=1,1,0)</f>
        <v>0</v>
      </c>
      <c r="K218" s="6" t="n">
        <f aca="false">E218*$Q$2</f>
        <v>36</v>
      </c>
      <c r="L218" s="7" t="n">
        <f aca="false">K218/PI()</f>
        <v>11.4591559026165</v>
      </c>
      <c r="M218" s="8" t="n">
        <f aca="false">PI()*L218^2/40000</f>
        <v>0.0103132403123548</v>
      </c>
      <c r="N218" s="7" t="n">
        <f aca="false">F218*$Q$3</f>
        <v>9</v>
      </c>
      <c r="O218" s="3"/>
      <c r="P218" s="3"/>
      <c r="Q218" s="3"/>
    </row>
    <row r="219" customFormat="false" ht="15" hidden="false" customHeight="false" outlineLevel="0" collapsed="false">
      <c r="A219" s="2" t="s">
        <v>32</v>
      </c>
      <c r="B219" s="2" t="n">
        <v>3</v>
      </c>
      <c r="C219" s="2" t="n">
        <v>137</v>
      </c>
      <c r="D219" s="2" t="n">
        <v>1</v>
      </c>
      <c r="E219" s="2" t="n">
        <v>150</v>
      </c>
      <c r="F219" s="2" t="n">
        <v>60</v>
      </c>
      <c r="G219" s="2" t="s">
        <v>33</v>
      </c>
      <c r="H219" s="6" t="str">
        <f aca="false">A219&amp;"_"&amp;B219</f>
        <v>chauas_3</v>
      </c>
      <c r="I219" s="6" t="str">
        <f aca="false">H219&amp;"_"&amp;C219&amp;"_"&amp;G219</f>
        <v>chauas_3_137_Myrcia sulfiflora</v>
      </c>
      <c r="J219" s="6" t="n">
        <f aca="false">IF(COUNTIF($I$2:I219,I219)=1,1,0)</f>
        <v>1</v>
      </c>
      <c r="K219" s="6" t="n">
        <f aca="false">E219*$Q$2</f>
        <v>15</v>
      </c>
      <c r="L219" s="7" t="n">
        <f aca="false">K219/PI()</f>
        <v>4.77464829275686</v>
      </c>
      <c r="M219" s="8" t="n">
        <f aca="false">PI()*L219^2/40000</f>
        <v>0.00179049310978382</v>
      </c>
      <c r="N219" s="7" t="n">
        <f aca="false">F219*$Q$3</f>
        <v>6</v>
      </c>
      <c r="O219" s="3"/>
      <c r="P219" s="3"/>
      <c r="Q219" s="3"/>
    </row>
    <row r="220" customFormat="false" ht="15" hidden="false" customHeight="false" outlineLevel="0" collapsed="false">
      <c r="A220" s="2" t="s">
        <v>32</v>
      </c>
      <c r="B220" s="2" t="n">
        <v>3</v>
      </c>
      <c r="C220" s="2" t="n">
        <v>138</v>
      </c>
      <c r="D220" s="2" t="n">
        <v>1</v>
      </c>
      <c r="E220" s="2" t="n">
        <v>350</v>
      </c>
      <c r="F220" s="2" t="n">
        <v>60</v>
      </c>
      <c r="G220" s="2" t="s">
        <v>37</v>
      </c>
      <c r="H220" s="6" t="str">
        <f aca="false">A220&amp;"_"&amp;B220</f>
        <v>chauas_3</v>
      </c>
      <c r="I220" s="6" t="str">
        <f aca="false">H220&amp;"_"&amp;C220&amp;"_"&amp;G220</f>
        <v>chauas_3_138_Tabebuia cassinoides</v>
      </c>
      <c r="J220" s="6" t="n">
        <f aca="false">IF(COUNTIF($I$2:I220,I220)=1,1,0)</f>
        <v>1</v>
      </c>
      <c r="K220" s="6" t="n">
        <f aca="false">E220*$Q$2</f>
        <v>35</v>
      </c>
      <c r="L220" s="7" t="n">
        <f aca="false">K220/PI()</f>
        <v>11.1408460164327</v>
      </c>
      <c r="M220" s="8" t="n">
        <f aca="false">PI()*L220^2/40000</f>
        <v>0.00974824026437859</v>
      </c>
      <c r="N220" s="7" t="n">
        <f aca="false">F220*$Q$3</f>
        <v>6</v>
      </c>
      <c r="O220" s="3"/>
      <c r="P220" s="3"/>
      <c r="Q220" s="3"/>
    </row>
    <row r="221" customFormat="false" ht="15" hidden="false" customHeight="false" outlineLevel="0" collapsed="false">
      <c r="A221" s="2" t="s">
        <v>32</v>
      </c>
      <c r="B221" s="2" t="n">
        <v>3</v>
      </c>
      <c r="C221" s="2" t="n">
        <v>138</v>
      </c>
      <c r="D221" s="2" t="n">
        <v>2</v>
      </c>
      <c r="E221" s="2" t="n">
        <v>160</v>
      </c>
      <c r="F221" s="2" t="n">
        <v>60</v>
      </c>
      <c r="G221" s="2" t="s">
        <v>37</v>
      </c>
      <c r="H221" s="6" t="str">
        <f aca="false">A221&amp;"_"&amp;B221</f>
        <v>chauas_3</v>
      </c>
      <c r="I221" s="6" t="str">
        <f aca="false">H221&amp;"_"&amp;C221&amp;"_"&amp;G221</f>
        <v>chauas_3_138_Tabebuia cassinoides</v>
      </c>
      <c r="J221" s="6" t="n">
        <f aca="false">IF(COUNTIF($I$2:I221,I221)=1,1,0)</f>
        <v>0</v>
      </c>
      <c r="K221" s="6" t="n">
        <f aca="false">E221*$Q$2</f>
        <v>16</v>
      </c>
      <c r="L221" s="7" t="n">
        <f aca="false">K221/PI()</f>
        <v>5.09295817894065</v>
      </c>
      <c r="M221" s="8" t="n">
        <f aca="false">PI()*L221^2/40000</f>
        <v>0.00203718327157626</v>
      </c>
      <c r="N221" s="7" t="n">
        <f aca="false">F221*$Q$3</f>
        <v>6</v>
      </c>
      <c r="O221" s="3"/>
      <c r="P221" s="3"/>
      <c r="Q221" s="3"/>
    </row>
    <row r="222" customFormat="false" ht="15" hidden="false" customHeight="false" outlineLevel="0" collapsed="false">
      <c r="A222" s="2" t="s">
        <v>32</v>
      </c>
      <c r="B222" s="2" t="n">
        <v>3</v>
      </c>
      <c r="C222" s="2" t="n">
        <v>138</v>
      </c>
      <c r="D222" s="2" t="n">
        <v>3</v>
      </c>
      <c r="E222" s="2" t="n">
        <v>150</v>
      </c>
      <c r="F222" s="2" t="n">
        <v>60</v>
      </c>
      <c r="G222" s="2" t="s">
        <v>37</v>
      </c>
      <c r="H222" s="6" t="str">
        <f aca="false">A222&amp;"_"&amp;B222</f>
        <v>chauas_3</v>
      </c>
      <c r="I222" s="6" t="str">
        <f aca="false">H222&amp;"_"&amp;C222&amp;"_"&amp;G222</f>
        <v>chauas_3_138_Tabebuia cassinoides</v>
      </c>
      <c r="J222" s="6" t="n">
        <f aca="false">IF(COUNTIF($I$2:I222,I222)=1,1,0)</f>
        <v>0</v>
      </c>
      <c r="K222" s="6" t="n">
        <f aca="false">E222*$Q$2</f>
        <v>15</v>
      </c>
      <c r="L222" s="7" t="n">
        <f aca="false">K222/PI()</f>
        <v>4.77464829275686</v>
      </c>
      <c r="M222" s="8" t="n">
        <f aca="false">PI()*L222^2/40000</f>
        <v>0.00179049310978382</v>
      </c>
      <c r="N222" s="7" t="n">
        <f aca="false">F222*$Q$3</f>
        <v>6</v>
      </c>
      <c r="O222" s="3"/>
      <c r="P222" s="3"/>
      <c r="Q222" s="3"/>
    </row>
    <row r="223" customFormat="false" ht="15" hidden="false" customHeight="false" outlineLevel="0" collapsed="false">
      <c r="A223" s="2" t="s">
        <v>32</v>
      </c>
      <c r="B223" s="2" t="n">
        <v>3</v>
      </c>
      <c r="C223" s="2" t="n">
        <v>139</v>
      </c>
      <c r="D223" s="2" t="n">
        <v>1</v>
      </c>
      <c r="E223" s="2" t="n">
        <v>310</v>
      </c>
      <c r="F223" s="2" t="n">
        <v>120</v>
      </c>
      <c r="G223" s="2" t="s">
        <v>37</v>
      </c>
      <c r="H223" s="6" t="str">
        <f aca="false">A223&amp;"_"&amp;B223</f>
        <v>chauas_3</v>
      </c>
      <c r="I223" s="6" t="str">
        <f aca="false">H223&amp;"_"&amp;C223&amp;"_"&amp;G223</f>
        <v>chauas_3_139_Tabebuia cassinoides</v>
      </c>
      <c r="J223" s="6" t="n">
        <f aca="false">IF(COUNTIF($I$2:I223,I223)=1,1,0)</f>
        <v>1</v>
      </c>
      <c r="K223" s="6" t="n">
        <f aca="false">E223*$Q$2</f>
        <v>31</v>
      </c>
      <c r="L223" s="7" t="n">
        <f aca="false">K223/PI()</f>
        <v>9.86760647169751</v>
      </c>
      <c r="M223" s="8" t="n">
        <f aca="false">PI()*L223^2/40000</f>
        <v>0.00764739501556557</v>
      </c>
      <c r="N223" s="7" t="n">
        <f aca="false">F223*$Q$3</f>
        <v>12</v>
      </c>
      <c r="O223" s="3"/>
      <c r="P223" s="3"/>
      <c r="Q223" s="3"/>
    </row>
    <row r="224" customFormat="false" ht="15" hidden="false" customHeight="false" outlineLevel="0" collapsed="false">
      <c r="A224" s="2" t="s">
        <v>32</v>
      </c>
      <c r="B224" s="2" t="n">
        <v>3</v>
      </c>
      <c r="C224" s="2" t="n">
        <v>139</v>
      </c>
      <c r="D224" s="2" t="n">
        <v>2</v>
      </c>
      <c r="E224" s="2" t="n">
        <v>160</v>
      </c>
      <c r="F224" s="2" t="n">
        <v>120</v>
      </c>
      <c r="G224" s="2" t="s">
        <v>37</v>
      </c>
      <c r="H224" s="6" t="str">
        <f aca="false">A224&amp;"_"&amp;B224</f>
        <v>chauas_3</v>
      </c>
      <c r="I224" s="6" t="str">
        <f aca="false">H224&amp;"_"&amp;C224&amp;"_"&amp;G224</f>
        <v>chauas_3_139_Tabebuia cassinoides</v>
      </c>
      <c r="J224" s="6" t="n">
        <f aca="false">IF(COUNTIF($I$2:I224,I224)=1,1,0)</f>
        <v>0</v>
      </c>
      <c r="K224" s="6" t="n">
        <f aca="false">E224*$Q$2</f>
        <v>16</v>
      </c>
      <c r="L224" s="7" t="n">
        <f aca="false">K224/PI()</f>
        <v>5.09295817894065</v>
      </c>
      <c r="M224" s="8" t="n">
        <f aca="false">PI()*L224^2/40000</f>
        <v>0.00203718327157626</v>
      </c>
      <c r="N224" s="7" t="n">
        <f aca="false">F224*$Q$3</f>
        <v>12</v>
      </c>
      <c r="O224" s="3"/>
      <c r="P224" s="3"/>
      <c r="Q224" s="3"/>
    </row>
    <row r="225" customFormat="false" ht="15" hidden="false" customHeight="false" outlineLevel="0" collapsed="false">
      <c r="A225" s="2" t="s">
        <v>32</v>
      </c>
      <c r="B225" s="2" t="n">
        <v>3</v>
      </c>
      <c r="C225" s="2" t="n">
        <v>139</v>
      </c>
      <c r="D225" s="2" t="n">
        <v>3</v>
      </c>
      <c r="E225" s="2" t="n">
        <v>150</v>
      </c>
      <c r="F225" s="2" t="n">
        <v>120</v>
      </c>
      <c r="G225" s="2" t="s">
        <v>37</v>
      </c>
      <c r="H225" s="6" t="str">
        <f aca="false">A225&amp;"_"&amp;B225</f>
        <v>chauas_3</v>
      </c>
      <c r="I225" s="6" t="str">
        <f aca="false">H225&amp;"_"&amp;C225&amp;"_"&amp;G225</f>
        <v>chauas_3_139_Tabebuia cassinoides</v>
      </c>
      <c r="J225" s="6" t="n">
        <f aca="false">IF(COUNTIF($I$2:I225,I225)=1,1,0)</f>
        <v>0</v>
      </c>
      <c r="K225" s="6" t="n">
        <f aca="false">E225*$Q$2</f>
        <v>15</v>
      </c>
      <c r="L225" s="7" t="n">
        <f aca="false">K225/PI()</f>
        <v>4.77464829275686</v>
      </c>
      <c r="M225" s="8" t="n">
        <f aca="false">PI()*L225^2/40000</f>
        <v>0.00179049310978382</v>
      </c>
      <c r="N225" s="7" t="n">
        <f aca="false">F225*$Q$3</f>
        <v>12</v>
      </c>
      <c r="O225" s="3"/>
      <c r="P225" s="3"/>
      <c r="Q225" s="3"/>
    </row>
    <row r="226" customFormat="false" ht="15" hidden="false" customHeight="false" outlineLevel="0" collapsed="false">
      <c r="A226" s="2" t="s">
        <v>32</v>
      </c>
      <c r="B226" s="2" t="n">
        <v>3</v>
      </c>
      <c r="C226" s="2" t="n">
        <v>140</v>
      </c>
      <c r="D226" s="2" t="n">
        <v>1</v>
      </c>
      <c r="E226" s="2" t="n">
        <v>200</v>
      </c>
      <c r="F226" s="2" t="n">
        <v>50</v>
      </c>
      <c r="G226" s="2" t="s">
        <v>37</v>
      </c>
      <c r="H226" s="6" t="str">
        <f aca="false">A226&amp;"_"&amp;B226</f>
        <v>chauas_3</v>
      </c>
      <c r="I226" s="6" t="str">
        <f aca="false">H226&amp;"_"&amp;C226&amp;"_"&amp;G226</f>
        <v>chauas_3_140_Tabebuia cassinoides</v>
      </c>
      <c r="J226" s="6" t="n">
        <f aca="false">IF(COUNTIF($I$2:I226,I226)=1,1,0)</f>
        <v>1</v>
      </c>
      <c r="K226" s="6" t="n">
        <f aca="false">E226*$Q$2</f>
        <v>20</v>
      </c>
      <c r="L226" s="7" t="n">
        <f aca="false">K226/PI()</f>
        <v>6.36619772367581</v>
      </c>
      <c r="M226" s="8" t="n">
        <f aca="false">PI()*L226^2/40000</f>
        <v>0.00318309886183791</v>
      </c>
      <c r="N226" s="7" t="n">
        <f aca="false">F226*$Q$3</f>
        <v>5</v>
      </c>
      <c r="O226" s="3"/>
      <c r="P226" s="3"/>
      <c r="Q226" s="3"/>
    </row>
    <row r="227" customFormat="false" ht="15" hidden="false" customHeight="false" outlineLevel="0" collapsed="false">
      <c r="A227" s="2" t="s">
        <v>32</v>
      </c>
      <c r="B227" s="2" t="n">
        <v>3</v>
      </c>
      <c r="C227" s="2" t="n">
        <v>140</v>
      </c>
      <c r="D227" s="2" t="n">
        <v>2</v>
      </c>
      <c r="E227" s="2" t="n">
        <v>190</v>
      </c>
      <c r="F227" s="2" t="n">
        <v>50</v>
      </c>
      <c r="G227" s="2" t="s">
        <v>37</v>
      </c>
      <c r="H227" s="6" t="str">
        <f aca="false">A227&amp;"_"&amp;B227</f>
        <v>chauas_3</v>
      </c>
      <c r="I227" s="6" t="str">
        <f aca="false">H227&amp;"_"&amp;C227&amp;"_"&amp;G227</f>
        <v>chauas_3_140_Tabebuia cassinoides</v>
      </c>
      <c r="J227" s="6" t="n">
        <f aca="false">IF(COUNTIF($I$2:I227,I227)=1,1,0)</f>
        <v>0</v>
      </c>
      <c r="K227" s="6" t="n">
        <f aca="false">E227*$Q$2</f>
        <v>19</v>
      </c>
      <c r="L227" s="7" t="n">
        <f aca="false">K227/PI()</f>
        <v>6.04788783749202</v>
      </c>
      <c r="M227" s="8" t="n">
        <f aca="false">PI()*L227^2/40000</f>
        <v>0.00287274672280871</v>
      </c>
      <c r="N227" s="7" t="n">
        <f aca="false">F227*$Q$3</f>
        <v>5</v>
      </c>
      <c r="O227" s="3"/>
      <c r="P227" s="3"/>
      <c r="Q227" s="3"/>
    </row>
    <row r="228" customFormat="false" ht="15" hidden="false" customHeight="false" outlineLevel="0" collapsed="false">
      <c r="A228" s="2" t="s">
        <v>32</v>
      </c>
      <c r="B228" s="2" t="n">
        <v>3</v>
      </c>
      <c r="C228" s="2" t="n">
        <v>140</v>
      </c>
      <c r="D228" s="2" t="n">
        <v>3</v>
      </c>
      <c r="E228" s="2" t="n">
        <v>300</v>
      </c>
      <c r="F228" s="2" t="n">
        <v>50</v>
      </c>
      <c r="G228" s="2" t="s">
        <v>37</v>
      </c>
      <c r="H228" s="6" t="str">
        <f aca="false">A228&amp;"_"&amp;B228</f>
        <v>chauas_3</v>
      </c>
      <c r="I228" s="6" t="str">
        <f aca="false">H228&amp;"_"&amp;C228&amp;"_"&amp;G228</f>
        <v>chauas_3_140_Tabebuia cassinoides</v>
      </c>
      <c r="J228" s="6" t="n">
        <f aca="false">IF(COUNTIF($I$2:I228,I228)=1,1,0)</f>
        <v>0</v>
      </c>
      <c r="K228" s="6" t="n">
        <f aca="false">E228*$Q$2</f>
        <v>30</v>
      </c>
      <c r="L228" s="7" t="n">
        <f aca="false">K228/PI()</f>
        <v>9.54929658551372</v>
      </c>
      <c r="M228" s="8" t="n">
        <f aca="false">PI()*L228^2/40000</f>
        <v>0.00716197243913529</v>
      </c>
      <c r="N228" s="7" t="n">
        <f aca="false">F228*$Q$3</f>
        <v>5</v>
      </c>
      <c r="O228" s="3"/>
      <c r="P228" s="3"/>
      <c r="Q228" s="3"/>
    </row>
    <row r="229" customFormat="false" ht="15" hidden="false" customHeight="false" outlineLevel="0" collapsed="false">
      <c r="A229" s="2" t="s">
        <v>32</v>
      </c>
      <c r="B229" s="2" t="n">
        <v>3</v>
      </c>
      <c r="C229" s="2" t="n">
        <v>141</v>
      </c>
      <c r="D229" s="2" t="n">
        <v>1</v>
      </c>
      <c r="E229" s="2" t="n">
        <v>320</v>
      </c>
      <c r="F229" s="2" t="n">
        <v>110</v>
      </c>
      <c r="G229" s="2" t="s">
        <v>37</v>
      </c>
      <c r="H229" s="6" t="str">
        <f aca="false">A229&amp;"_"&amp;B229</f>
        <v>chauas_3</v>
      </c>
      <c r="I229" s="6" t="str">
        <f aca="false">H229&amp;"_"&amp;C229&amp;"_"&amp;G229</f>
        <v>chauas_3_141_Tabebuia cassinoides</v>
      </c>
      <c r="J229" s="6" t="n">
        <f aca="false">IF(COUNTIF($I$2:I229,I229)=1,1,0)</f>
        <v>1</v>
      </c>
      <c r="K229" s="6" t="n">
        <f aca="false">E229*$Q$2</f>
        <v>32</v>
      </c>
      <c r="L229" s="7" t="n">
        <f aca="false">K229/PI()</f>
        <v>10.1859163578813</v>
      </c>
      <c r="M229" s="8" t="n">
        <f aca="false">PI()*L229^2/40000</f>
        <v>0.00814873308630504</v>
      </c>
      <c r="N229" s="7" t="n">
        <f aca="false">F229*$Q$3</f>
        <v>11</v>
      </c>
      <c r="O229" s="3"/>
      <c r="P229" s="3"/>
      <c r="Q229" s="3"/>
    </row>
    <row r="230" customFormat="false" ht="15" hidden="false" customHeight="false" outlineLevel="0" collapsed="false">
      <c r="A230" s="2" t="s">
        <v>32</v>
      </c>
      <c r="B230" s="2" t="n">
        <v>3</v>
      </c>
      <c r="C230" s="2" t="n">
        <v>141</v>
      </c>
      <c r="D230" s="2" t="n">
        <v>2</v>
      </c>
      <c r="E230" s="2" t="n">
        <v>320</v>
      </c>
      <c r="F230" s="2" t="n">
        <v>110</v>
      </c>
      <c r="G230" s="2" t="s">
        <v>37</v>
      </c>
      <c r="H230" s="6" t="str">
        <f aca="false">A230&amp;"_"&amp;B230</f>
        <v>chauas_3</v>
      </c>
      <c r="I230" s="6" t="str">
        <f aca="false">H230&amp;"_"&amp;C230&amp;"_"&amp;G230</f>
        <v>chauas_3_141_Tabebuia cassinoides</v>
      </c>
      <c r="J230" s="6" t="n">
        <f aca="false">IF(COUNTIF($I$2:I230,I230)=1,1,0)</f>
        <v>0</v>
      </c>
      <c r="K230" s="6" t="n">
        <f aca="false">E230*$Q$2</f>
        <v>32</v>
      </c>
      <c r="L230" s="7" t="n">
        <f aca="false">K230/PI()</f>
        <v>10.1859163578813</v>
      </c>
      <c r="M230" s="8" t="n">
        <f aca="false">PI()*L230^2/40000</f>
        <v>0.00814873308630504</v>
      </c>
      <c r="N230" s="7" t="n">
        <f aca="false">F230*$Q$3</f>
        <v>11</v>
      </c>
      <c r="O230" s="3"/>
      <c r="P230" s="3"/>
      <c r="Q230" s="3"/>
    </row>
    <row r="231" customFormat="false" ht="15" hidden="false" customHeight="false" outlineLevel="0" collapsed="false">
      <c r="A231" s="2" t="s">
        <v>32</v>
      </c>
      <c r="B231" s="2" t="n">
        <v>3</v>
      </c>
      <c r="C231" s="2" t="n">
        <v>142</v>
      </c>
      <c r="D231" s="2" t="n">
        <v>1</v>
      </c>
      <c r="E231" s="2" t="n">
        <v>260</v>
      </c>
      <c r="F231" s="2" t="n">
        <v>40</v>
      </c>
      <c r="G231" s="2" t="s">
        <v>37</v>
      </c>
      <c r="H231" s="6" t="str">
        <f aca="false">A231&amp;"_"&amp;B231</f>
        <v>chauas_3</v>
      </c>
      <c r="I231" s="6" t="str">
        <f aca="false">H231&amp;"_"&amp;C231&amp;"_"&amp;G231</f>
        <v>chauas_3_142_Tabebuia cassinoides</v>
      </c>
      <c r="J231" s="6" t="n">
        <f aca="false">IF(COUNTIF($I$2:I231,I231)=1,1,0)</f>
        <v>1</v>
      </c>
      <c r="K231" s="6" t="n">
        <f aca="false">E231*$Q$2</f>
        <v>26</v>
      </c>
      <c r="L231" s="7" t="n">
        <f aca="false">K231/PI()</f>
        <v>8.27605704077856</v>
      </c>
      <c r="M231" s="8" t="n">
        <f aca="false">PI()*L231^2/40000</f>
        <v>0.00537943707650606</v>
      </c>
      <c r="N231" s="7" t="n">
        <f aca="false">F231*$Q$3</f>
        <v>4</v>
      </c>
      <c r="O231" s="3"/>
      <c r="P231" s="3"/>
      <c r="Q231" s="3"/>
    </row>
    <row r="232" customFormat="false" ht="15" hidden="false" customHeight="false" outlineLevel="0" collapsed="false">
      <c r="A232" s="2" t="s">
        <v>32</v>
      </c>
      <c r="B232" s="2" t="n">
        <v>3</v>
      </c>
      <c r="C232" s="2" t="n">
        <v>142</v>
      </c>
      <c r="D232" s="2" t="n">
        <v>2</v>
      </c>
      <c r="E232" s="2" t="n">
        <v>160</v>
      </c>
      <c r="F232" s="2" t="n">
        <v>40</v>
      </c>
      <c r="G232" s="2" t="s">
        <v>37</v>
      </c>
      <c r="H232" s="6" t="str">
        <f aca="false">A232&amp;"_"&amp;B232</f>
        <v>chauas_3</v>
      </c>
      <c r="I232" s="6" t="str">
        <f aca="false">H232&amp;"_"&amp;C232&amp;"_"&amp;G232</f>
        <v>chauas_3_142_Tabebuia cassinoides</v>
      </c>
      <c r="J232" s="6" t="n">
        <f aca="false">IF(COUNTIF($I$2:I232,I232)=1,1,0)</f>
        <v>0</v>
      </c>
      <c r="K232" s="6" t="n">
        <f aca="false">E232*$Q$2</f>
        <v>16</v>
      </c>
      <c r="L232" s="7" t="n">
        <f aca="false">K232/PI()</f>
        <v>5.09295817894065</v>
      </c>
      <c r="M232" s="8" t="n">
        <f aca="false">PI()*L232^2/40000</f>
        <v>0.00203718327157626</v>
      </c>
      <c r="N232" s="7" t="n">
        <f aca="false">F232*$Q$3</f>
        <v>4</v>
      </c>
      <c r="O232" s="3"/>
      <c r="P232" s="3"/>
      <c r="Q232" s="3"/>
    </row>
    <row r="233" customFormat="false" ht="15" hidden="false" customHeight="false" outlineLevel="0" collapsed="false">
      <c r="A233" s="2" t="s">
        <v>32</v>
      </c>
      <c r="B233" s="2" t="n">
        <v>3</v>
      </c>
      <c r="C233" s="2" t="n">
        <v>143</v>
      </c>
      <c r="D233" s="2" t="n">
        <v>1</v>
      </c>
      <c r="E233" s="2" t="n">
        <v>210</v>
      </c>
      <c r="F233" s="2" t="n">
        <v>60</v>
      </c>
      <c r="G233" s="2" t="s">
        <v>37</v>
      </c>
      <c r="H233" s="6" t="str">
        <f aca="false">A233&amp;"_"&amp;B233</f>
        <v>chauas_3</v>
      </c>
      <c r="I233" s="6" t="str">
        <f aca="false">H233&amp;"_"&amp;C233&amp;"_"&amp;G233</f>
        <v>chauas_3_143_Tabebuia cassinoides</v>
      </c>
      <c r="J233" s="6" t="n">
        <f aca="false">IF(COUNTIF($I$2:I233,I233)=1,1,0)</f>
        <v>1</v>
      </c>
      <c r="K233" s="6" t="n">
        <f aca="false">E233*$Q$2</f>
        <v>21</v>
      </c>
      <c r="L233" s="7" t="n">
        <f aca="false">K233/PI()</f>
        <v>6.68450760985961</v>
      </c>
      <c r="M233" s="8" t="n">
        <f aca="false">PI()*L233^2/40000</f>
        <v>0.00350936649517629</v>
      </c>
      <c r="N233" s="7" t="n">
        <f aca="false">F233*$Q$3</f>
        <v>6</v>
      </c>
      <c r="O233" s="3"/>
      <c r="P233" s="3"/>
      <c r="Q233" s="3"/>
    </row>
    <row r="234" customFormat="false" ht="15" hidden="false" customHeight="false" outlineLevel="0" collapsed="false">
      <c r="A234" s="2" t="s">
        <v>32</v>
      </c>
      <c r="B234" s="2" t="n">
        <v>3</v>
      </c>
      <c r="C234" s="2" t="n">
        <v>143</v>
      </c>
      <c r="D234" s="2" t="n">
        <v>2</v>
      </c>
      <c r="E234" s="2" t="n">
        <v>190</v>
      </c>
      <c r="F234" s="2" t="n">
        <v>60</v>
      </c>
      <c r="G234" s="2" t="s">
        <v>37</v>
      </c>
      <c r="H234" s="6" t="str">
        <f aca="false">A234&amp;"_"&amp;B234</f>
        <v>chauas_3</v>
      </c>
      <c r="I234" s="6" t="str">
        <f aca="false">H234&amp;"_"&amp;C234&amp;"_"&amp;G234</f>
        <v>chauas_3_143_Tabebuia cassinoides</v>
      </c>
      <c r="J234" s="6" t="n">
        <f aca="false">IF(COUNTIF($I$2:I234,I234)=1,1,0)</f>
        <v>0</v>
      </c>
      <c r="K234" s="6" t="n">
        <f aca="false">E234*$Q$2</f>
        <v>19</v>
      </c>
      <c r="L234" s="7" t="n">
        <f aca="false">K234/PI()</f>
        <v>6.04788783749202</v>
      </c>
      <c r="M234" s="8" t="n">
        <f aca="false">PI()*L234^2/40000</f>
        <v>0.00287274672280871</v>
      </c>
      <c r="N234" s="7" t="n">
        <f aca="false">F234*$Q$3</f>
        <v>6</v>
      </c>
      <c r="O234" s="3"/>
      <c r="P234" s="3"/>
      <c r="Q234" s="3"/>
    </row>
    <row r="235" customFormat="false" ht="15" hidden="false" customHeight="false" outlineLevel="0" collapsed="false">
      <c r="A235" s="2" t="s">
        <v>32</v>
      </c>
      <c r="B235" s="2" t="n">
        <v>3</v>
      </c>
      <c r="C235" s="2" t="n">
        <v>144</v>
      </c>
      <c r="D235" s="2" t="n">
        <v>1</v>
      </c>
      <c r="E235" s="2" t="n">
        <v>260</v>
      </c>
      <c r="F235" s="2" t="n">
        <v>70</v>
      </c>
      <c r="G235" s="2" t="s">
        <v>33</v>
      </c>
      <c r="H235" s="6" t="str">
        <f aca="false">A235&amp;"_"&amp;B235</f>
        <v>chauas_3</v>
      </c>
      <c r="I235" s="6" t="str">
        <f aca="false">H235&amp;"_"&amp;C235&amp;"_"&amp;G235</f>
        <v>chauas_3_144_Myrcia sulfiflora</v>
      </c>
      <c r="J235" s="6" t="n">
        <f aca="false">IF(COUNTIF($I$2:I235,I235)=1,1,0)</f>
        <v>1</v>
      </c>
      <c r="K235" s="6" t="n">
        <f aca="false">E235*$Q$2</f>
        <v>26</v>
      </c>
      <c r="L235" s="7" t="n">
        <f aca="false">K235/PI()</f>
        <v>8.27605704077856</v>
      </c>
      <c r="M235" s="8" t="n">
        <f aca="false">PI()*L235^2/40000</f>
        <v>0.00537943707650606</v>
      </c>
      <c r="N235" s="7" t="n">
        <f aca="false">F235*$Q$3</f>
        <v>7</v>
      </c>
      <c r="O235" s="3"/>
      <c r="P235" s="3"/>
      <c r="Q235" s="3"/>
    </row>
    <row r="236" customFormat="false" ht="15" hidden="false" customHeight="false" outlineLevel="0" collapsed="false">
      <c r="A236" s="2" t="s">
        <v>32</v>
      </c>
      <c r="B236" s="2" t="n">
        <v>3</v>
      </c>
      <c r="C236" s="2" t="n">
        <v>145</v>
      </c>
      <c r="D236" s="2" t="n">
        <v>1</v>
      </c>
      <c r="E236" s="2" t="n">
        <v>260</v>
      </c>
      <c r="F236" s="2" t="n">
        <v>110</v>
      </c>
      <c r="G236" s="2" t="s">
        <v>37</v>
      </c>
      <c r="H236" s="6" t="str">
        <f aca="false">A236&amp;"_"&amp;B236</f>
        <v>chauas_3</v>
      </c>
      <c r="I236" s="6" t="str">
        <f aca="false">H236&amp;"_"&amp;C236&amp;"_"&amp;G236</f>
        <v>chauas_3_145_Tabebuia cassinoides</v>
      </c>
      <c r="J236" s="6" t="n">
        <f aca="false">IF(COUNTIF($I$2:I236,I236)=1,1,0)</f>
        <v>1</v>
      </c>
      <c r="K236" s="6" t="n">
        <f aca="false">E236*$Q$2</f>
        <v>26</v>
      </c>
      <c r="L236" s="7" t="n">
        <f aca="false">K236/PI()</f>
        <v>8.27605704077856</v>
      </c>
      <c r="M236" s="8" t="n">
        <f aca="false">PI()*L236^2/40000</f>
        <v>0.00537943707650606</v>
      </c>
      <c r="N236" s="7" t="n">
        <f aca="false">F236*$Q$3</f>
        <v>11</v>
      </c>
      <c r="O236" s="3"/>
      <c r="P236" s="3"/>
      <c r="Q236" s="3"/>
    </row>
    <row r="237" customFormat="false" ht="15" hidden="false" customHeight="false" outlineLevel="0" collapsed="false">
      <c r="A237" s="2" t="s">
        <v>32</v>
      </c>
      <c r="B237" s="2" t="n">
        <v>3</v>
      </c>
      <c r="C237" s="2" t="n">
        <v>145</v>
      </c>
      <c r="D237" s="2" t="n">
        <v>2</v>
      </c>
      <c r="E237" s="2" t="n">
        <v>330</v>
      </c>
      <c r="F237" s="2" t="n">
        <v>110</v>
      </c>
      <c r="G237" s="2" t="s">
        <v>37</v>
      </c>
      <c r="H237" s="6" t="str">
        <f aca="false">A237&amp;"_"&amp;B237</f>
        <v>chauas_3</v>
      </c>
      <c r="I237" s="6" t="str">
        <f aca="false">H237&amp;"_"&amp;C237&amp;"_"&amp;G237</f>
        <v>chauas_3_145_Tabebuia cassinoides</v>
      </c>
      <c r="J237" s="6" t="n">
        <f aca="false">IF(COUNTIF($I$2:I237,I237)=1,1,0)</f>
        <v>0</v>
      </c>
      <c r="K237" s="6" t="n">
        <f aca="false">E237*$Q$2</f>
        <v>33</v>
      </c>
      <c r="L237" s="7" t="n">
        <f aca="false">K237/PI()</f>
        <v>10.5042262440651</v>
      </c>
      <c r="M237" s="8" t="n">
        <f aca="false">PI()*L237^2/40000</f>
        <v>0.0086659866513537</v>
      </c>
      <c r="N237" s="7" t="n">
        <f aca="false">F237*$Q$3</f>
        <v>11</v>
      </c>
      <c r="O237" s="3"/>
      <c r="P237" s="3"/>
      <c r="Q237" s="3"/>
    </row>
    <row r="238" customFormat="false" ht="15" hidden="false" customHeight="false" outlineLevel="0" collapsed="false">
      <c r="A238" s="2" t="s">
        <v>32</v>
      </c>
      <c r="B238" s="2" t="n">
        <v>3</v>
      </c>
      <c r="C238" s="2" t="n">
        <v>146</v>
      </c>
      <c r="D238" s="2" t="n">
        <v>1</v>
      </c>
      <c r="E238" s="2" t="n">
        <v>250</v>
      </c>
      <c r="F238" s="2" t="n">
        <v>50</v>
      </c>
      <c r="G238" s="2" t="s">
        <v>37</v>
      </c>
      <c r="H238" s="6" t="str">
        <f aca="false">A238&amp;"_"&amp;B238</f>
        <v>chauas_3</v>
      </c>
      <c r="I238" s="6" t="str">
        <f aca="false">H238&amp;"_"&amp;C238&amp;"_"&amp;G238</f>
        <v>chauas_3_146_Tabebuia cassinoides</v>
      </c>
      <c r="J238" s="6" t="n">
        <f aca="false">IF(COUNTIF($I$2:I238,I238)=1,1,0)</f>
        <v>1</v>
      </c>
      <c r="K238" s="6" t="n">
        <f aca="false">E238*$Q$2</f>
        <v>25</v>
      </c>
      <c r="L238" s="7" t="n">
        <f aca="false">K238/PI()</f>
        <v>7.95774715459477</v>
      </c>
      <c r="M238" s="8" t="n">
        <f aca="false">PI()*L238^2/40000</f>
        <v>0.00497359197162173</v>
      </c>
      <c r="N238" s="7" t="n">
        <f aca="false">F238*$Q$3</f>
        <v>5</v>
      </c>
      <c r="O238" s="3"/>
      <c r="P238" s="3"/>
      <c r="Q238" s="3"/>
    </row>
    <row r="239" customFormat="false" ht="15" hidden="false" customHeight="false" outlineLevel="0" collapsed="false">
      <c r="A239" s="2" t="s">
        <v>32</v>
      </c>
      <c r="B239" s="2" t="n">
        <v>3</v>
      </c>
      <c r="C239" s="2" t="n">
        <v>147</v>
      </c>
      <c r="D239" s="2" t="n">
        <v>1</v>
      </c>
      <c r="E239" s="2" t="n">
        <v>730</v>
      </c>
      <c r="F239" s="2" t="n">
        <v>110</v>
      </c>
      <c r="G239" s="2" t="s">
        <v>48</v>
      </c>
      <c r="H239" s="6" t="str">
        <f aca="false">A239&amp;"_"&amp;B239</f>
        <v>chauas_3</v>
      </c>
      <c r="I239" s="6" t="str">
        <f aca="false">H239&amp;"_"&amp;C239&amp;"_"&amp;G239</f>
        <v>chauas_3_147_Calophyllum brasiliensis</v>
      </c>
      <c r="J239" s="6" t="n">
        <f aca="false">IF(COUNTIF($I$2:I239,I239)=1,1,0)</f>
        <v>1</v>
      </c>
      <c r="K239" s="6" t="n">
        <f aca="false">E239*$Q$2</f>
        <v>73</v>
      </c>
      <c r="L239" s="7" t="n">
        <f aca="false">K239/PI()</f>
        <v>23.2366216914167</v>
      </c>
      <c r="M239" s="8" t="n">
        <f aca="false">PI()*L239^2/40000</f>
        <v>0.0424068345868355</v>
      </c>
      <c r="N239" s="7" t="n">
        <f aca="false">F239*$Q$3</f>
        <v>11</v>
      </c>
      <c r="O239" s="3"/>
      <c r="P239" s="3"/>
      <c r="Q239" s="3"/>
    </row>
    <row r="240" customFormat="false" ht="15" hidden="false" customHeight="false" outlineLevel="0" collapsed="false">
      <c r="A240" s="2" t="s">
        <v>32</v>
      </c>
      <c r="B240" s="2" t="n">
        <v>3</v>
      </c>
      <c r="C240" s="2" t="n">
        <v>148</v>
      </c>
      <c r="D240" s="2" t="n">
        <v>1</v>
      </c>
      <c r="E240" s="2" t="n">
        <v>350</v>
      </c>
      <c r="F240" s="2" t="n">
        <v>120</v>
      </c>
      <c r="G240" s="2" t="s">
        <v>33</v>
      </c>
      <c r="H240" s="6" t="str">
        <f aca="false">A240&amp;"_"&amp;B240</f>
        <v>chauas_3</v>
      </c>
      <c r="I240" s="6" t="str">
        <f aca="false">H240&amp;"_"&amp;C240&amp;"_"&amp;G240</f>
        <v>chauas_3_148_Myrcia sulfiflora</v>
      </c>
      <c r="J240" s="6" t="n">
        <f aca="false">IF(COUNTIF($I$2:I240,I240)=1,1,0)</f>
        <v>1</v>
      </c>
      <c r="K240" s="6" t="n">
        <f aca="false">E240*$Q$2</f>
        <v>35</v>
      </c>
      <c r="L240" s="7" t="n">
        <f aca="false">K240/PI()</f>
        <v>11.1408460164327</v>
      </c>
      <c r="M240" s="8" t="n">
        <f aca="false">PI()*L240^2/40000</f>
        <v>0.00974824026437859</v>
      </c>
      <c r="N240" s="7" t="n">
        <f aca="false">F240*$Q$3</f>
        <v>12</v>
      </c>
      <c r="O240" s="3"/>
      <c r="P240" s="3"/>
      <c r="Q240" s="3"/>
    </row>
    <row r="241" customFormat="false" ht="15" hidden="false" customHeight="false" outlineLevel="0" collapsed="false">
      <c r="A241" s="2" t="s">
        <v>32</v>
      </c>
      <c r="B241" s="2" t="n">
        <v>3</v>
      </c>
      <c r="C241" s="2" t="n">
        <v>149</v>
      </c>
      <c r="D241" s="2" t="n">
        <v>1</v>
      </c>
      <c r="E241" s="2" t="n">
        <v>310</v>
      </c>
      <c r="F241" s="2" t="n">
        <v>80</v>
      </c>
      <c r="G241" s="2" t="s">
        <v>37</v>
      </c>
      <c r="H241" s="6" t="str">
        <f aca="false">A241&amp;"_"&amp;B241</f>
        <v>chauas_3</v>
      </c>
      <c r="I241" s="6" t="str">
        <f aca="false">H241&amp;"_"&amp;C241&amp;"_"&amp;G241</f>
        <v>chauas_3_149_Tabebuia cassinoides</v>
      </c>
      <c r="J241" s="6" t="n">
        <f aca="false">IF(COUNTIF($I$2:I241,I241)=1,1,0)</f>
        <v>1</v>
      </c>
      <c r="K241" s="6" t="n">
        <f aca="false">E241*$Q$2</f>
        <v>31</v>
      </c>
      <c r="L241" s="7" t="n">
        <f aca="false">K241/PI()</f>
        <v>9.86760647169751</v>
      </c>
      <c r="M241" s="8" t="n">
        <f aca="false">PI()*L241^2/40000</f>
        <v>0.00764739501556557</v>
      </c>
      <c r="N241" s="7" t="n">
        <f aca="false">F241*$Q$3</f>
        <v>8</v>
      </c>
      <c r="O241" s="3"/>
      <c r="P241" s="3"/>
      <c r="Q241" s="3"/>
    </row>
    <row r="242" customFormat="false" ht="15" hidden="false" customHeight="false" outlineLevel="0" collapsed="false">
      <c r="A242" s="2" t="s">
        <v>32</v>
      </c>
      <c r="B242" s="2" t="n">
        <v>3</v>
      </c>
      <c r="C242" s="2" t="n">
        <v>150</v>
      </c>
      <c r="D242" s="2" t="n">
        <v>1</v>
      </c>
      <c r="E242" s="2" t="n">
        <v>170</v>
      </c>
      <c r="F242" s="2" t="n">
        <v>50</v>
      </c>
      <c r="G242" s="2" t="s">
        <v>33</v>
      </c>
      <c r="H242" s="6" t="str">
        <f aca="false">A242&amp;"_"&amp;B242</f>
        <v>chauas_3</v>
      </c>
      <c r="I242" s="6" t="str">
        <f aca="false">H242&amp;"_"&amp;C242&amp;"_"&amp;G242</f>
        <v>chauas_3_150_Myrcia sulfiflora</v>
      </c>
      <c r="J242" s="6" t="n">
        <f aca="false">IF(COUNTIF($I$2:I242,I242)=1,1,0)</f>
        <v>1</v>
      </c>
      <c r="K242" s="6" t="n">
        <f aca="false">E242*$Q$2</f>
        <v>17</v>
      </c>
      <c r="L242" s="7" t="n">
        <f aca="false">K242/PI()</f>
        <v>5.41126806512444</v>
      </c>
      <c r="M242" s="8" t="n">
        <f aca="false">PI()*L242^2/40000</f>
        <v>0.00229978892767789</v>
      </c>
      <c r="N242" s="7" t="n">
        <f aca="false">F242*$Q$3</f>
        <v>5</v>
      </c>
      <c r="O242" s="3"/>
      <c r="P242" s="3"/>
      <c r="Q242" s="3"/>
    </row>
    <row r="243" customFormat="false" ht="15" hidden="false" customHeight="false" outlineLevel="0" collapsed="false">
      <c r="A243" s="2" t="s">
        <v>32</v>
      </c>
      <c r="B243" s="2" t="n">
        <v>3</v>
      </c>
      <c r="C243" s="2" t="n">
        <v>151</v>
      </c>
      <c r="D243" s="2" t="n">
        <v>1</v>
      </c>
      <c r="E243" s="2" t="n">
        <v>620</v>
      </c>
      <c r="F243" s="2" t="n">
        <v>100</v>
      </c>
      <c r="G243" s="2" t="s">
        <v>37</v>
      </c>
      <c r="H243" s="6" t="str">
        <f aca="false">A243&amp;"_"&amp;B243</f>
        <v>chauas_3</v>
      </c>
      <c r="I243" s="6" t="str">
        <f aca="false">H243&amp;"_"&amp;C243&amp;"_"&amp;G243</f>
        <v>chauas_3_151_Tabebuia cassinoides</v>
      </c>
      <c r="J243" s="6" t="n">
        <f aca="false">IF(COUNTIF($I$2:I243,I243)=1,1,0)</f>
        <v>1</v>
      </c>
      <c r="K243" s="6" t="n">
        <f aca="false">E243*$Q$2</f>
        <v>62</v>
      </c>
      <c r="L243" s="7" t="n">
        <f aca="false">K243/PI()</f>
        <v>19.735212943395</v>
      </c>
      <c r="M243" s="8" t="n">
        <f aca="false">PI()*L243^2/40000</f>
        <v>0.0305895800622623</v>
      </c>
      <c r="N243" s="7" t="n">
        <f aca="false">F243*$Q$3</f>
        <v>10</v>
      </c>
      <c r="O243" s="3"/>
      <c r="P243" s="3"/>
      <c r="Q243" s="3"/>
    </row>
    <row r="244" customFormat="false" ht="15" hidden="false" customHeight="false" outlineLevel="0" collapsed="false">
      <c r="A244" s="2" t="s">
        <v>32</v>
      </c>
      <c r="B244" s="2" t="n">
        <v>3</v>
      </c>
      <c r="C244" s="2" t="n">
        <v>151</v>
      </c>
      <c r="D244" s="2" t="n">
        <v>2</v>
      </c>
      <c r="E244" s="2" t="n">
        <v>340</v>
      </c>
      <c r="F244" s="2" t="n">
        <v>100</v>
      </c>
      <c r="G244" s="2" t="s">
        <v>37</v>
      </c>
      <c r="H244" s="6" t="str">
        <f aca="false">A244&amp;"_"&amp;B244</f>
        <v>chauas_3</v>
      </c>
      <c r="I244" s="6" t="str">
        <f aca="false">H244&amp;"_"&amp;C244&amp;"_"&amp;G244</f>
        <v>chauas_3_151_Tabebuia cassinoides</v>
      </c>
      <c r="J244" s="6" t="n">
        <f aca="false">IF(COUNTIF($I$2:I244,I244)=1,1,0)</f>
        <v>0</v>
      </c>
      <c r="K244" s="6" t="n">
        <f aca="false">E244*$Q$2</f>
        <v>34</v>
      </c>
      <c r="L244" s="7" t="n">
        <f aca="false">K244/PI()</f>
        <v>10.8225361302489</v>
      </c>
      <c r="M244" s="8" t="n">
        <f aca="false">PI()*L244^2/40000</f>
        <v>0.00919915571071155</v>
      </c>
      <c r="N244" s="7" t="n">
        <f aca="false">F244*$Q$3</f>
        <v>10</v>
      </c>
      <c r="O244" s="3"/>
      <c r="P244" s="3"/>
      <c r="Q244" s="3"/>
    </row>
    <row r="245" customFormat="false" ht="15" hidden="false" customHeight="false" outlineLevel="0" collapsed="false">
      <c r="A245" s="2" t="s">
        <v>32</v>
      </c>
      <c r="B245" s="2" t="n">
        <v>3</v>
      </c>
      <c r="C245" s="2" t="n">
        <v>152</v>
      </c>
      <c r="D245" s="2" t="n">
        <v>1</v>
      </c>
      <c r="E245" s="2" t="n">
        <v>160</v>
      </c>
      <c r="F245" s="2" t="n">
        <v>50</v>
      </c>
      <c r="G245" s="2" t="s">
        <v>37</v>
      </c>
      <c r="H245" s="6" t="str">
        <f aca="false">A245&amp;"_"&amp;B245</f>
        <v>chauas_3</v>
      </c>
      <c r="I245" s="6" t="str">
        <f aca="false">H245&amp;"_"&amp;C245&amp;"_"&amp;G245</f>
        <v>chauas_3_152_Tabebuia cassinoides</v>
      </c>
      <c r="J245" s="6" t="n">
        <f aca="false">IF(COUNTIF($I$2:I245,I245)=1,1,0)</f>
        <v>1</v>
      </c>
      <c r="K245" s="6" t="n">
        <f aca="false">E245*$Q$2</f>
        <v>16</v>
      </c>
      <c r="L245" s="7" t="n">
        <f aca="false">K245/PI()</f>
        <v>5.09295817894065</v>
      </c>
      <c r="M245" s="8" t="n">
        <f aca="false">PI()*L245^2/40000</f>
        <v>0.00203718327157626</v>
      </c>
      <c r="N245" s="7" t="n">
        <f aca="false">F245*$Q$3</f>
        <v>5</v>
      </c>
      <c r="O245" s="3"/>
      <c r="P245" s="3"/>
      <c r="Q245" s="3"/>
    </row>
    <row r="246" customFormat="false" ht="15" hidden="false" customHeight="false" outlineLevel="0" collapsed="false">
      <c r="A246" s="2" t="s">
        <v>32</v>
      </c>
      <c r="B246" s="2" t="n">
        <v>3</v>
      </c>
      <c r="C246" s="2" t="n">
        <v>153</v>
      </c>
      <c r="D246" s="2" t="n">
        <v>1</v>
      </c>
      <c r="E246" s="2" t="n">
        <v>310</v>
      </c>
      <c r="F246" s="2" t="n">
        <v>50</v>
      </c>
      <c r="G246" s="2" t="s">
        <v>37</v>
      </c>
      <c r="H246" s="6" t="str">
        <f aca="false">A246&amp;"_"&amp;B246</f>
        <v>chauas_3</v>
      </c>
      <c r="I246" s="6" t="str">
        <f aca="false">H246&amp;"_"&amp;C246&amp;"_"&amp;G246</f>
        <v>chauas_3_153_Tabebuia cassinoides</v>
      </c>
      <c r="J246" s="6" t="n">
        <f aca="false">IF(COUNTIF($I$2:I246,I246)=1,1,0)</f>
        <v>1</v>
      </c>
      <c r="K246" s="6" t="n">
        <f aca="false">E246*$Q$2</f>
        <v>31</v>
      </c>
      <c r="L246" s="7" t="n">
        <f aca="false">K246/PI()</f>
        <v>9.86760647169751</v>
      </c>
      <c r="M246" s="8" t="n">
        <f aca="false">PI()*L246^2/40000</f>
        <v>0.00764739501556557</v>
      </c>
      <c r="N246" s="7" t="n">
        <f aca="false">F246*$Q$3</f>
        <v>5</v>
      </c>
      <c r="O246" s="3"/>
      <c r="P246" s="3"/>
      <c r="Q246" s="3"/>
    </row>
    <row r="247" customFormat="false" ht="15" hidden="false" customHeight="false" outlineLevel="0" collapsed="false">
      <c r="A247" s="2" t="s">
        <v>32</v>
      </c>
      <c r="B247" s="2" t="n">
        <v>3</v>
      </c>
      <c r="C247" s="2" t="n">
        <v>154</v>
      </c>
      <c r="D247" s="2" t="n">
        <v>1</v>
      </c>
      <c r="E247" s="2" t="n">
        <v>450</v>
      </c>
      <c r="F247" s="2" t="n">
        <v>130</v>
      </c>
      <c r="G247" s="2" t="s">
        <v>37</v>
      </c>
      <c r="H247" s="6" t="str">
        <f aca="false">A247&amp;"_"&amp;B247</f>
        <v>chauas_3</v>
      </c>
      <c r="I247" s="6" t="str">
        <f aca="false">H247&amp;"_"&amp;C247&amp;"_"&amp;G247</f>
        <v>chauas_3_154_Tabebuia cassinoides</v>
      </c>
      <c r="J247" s="6" t="n">
        <f aca="false">IF(COUNTIF($I$2:I247,I247)=1,1,0)</f>
        <v>1</v>
      </c>
      <c r="K247" s="6" t="n">
        <f aca="false">E247*$Q$2</f>
        <v>45</v>
      </c>
      <c r="L247" s="7" t="n">
        <f aca="false">K247/PI()</f>
        <v>14.3239448782706</v>
      </c>
      <c r="M247" s="8" t="n">
        <f aca="false">PI()*L247^2/40000</f>
        <v>0.0161144379880544</v>
      </c>
      <c r="N247" s="7" t="n">
        <f aca="false">F247*$Q$3</f>
        <v>13</v>
      </c>
      <c r="O247" s="3"/>
      <c r="P247" s="3"/>
      <c r="Q247" s="3"/>
    </row>
    <row r="248" customFormat="false" ht="15" hidden="false" customHeight="false" outlineLevel="0" collapsed="false">
      <c r="A248" s="2" t="s">
        <v>32</v>
      </c>
      <c r="B248" s="2" t="n">
        <v>3</v>
      </c>
      <c r="C248" s="2" t="n">
        <v>155</v>
      </c>
      <c r="D248" s="2" t="n">
        <v>1</v>
      </c>
      <c r="E248" s="2" t="n">
        <v>890</v>
      </c>
      <c r="F248" s="2" t="n">
        <v>120</v>
      </c>
      <c r="G248" s="2" t="s">
        <v>48</v>
      </c>
      <c r="H248" s="6" t="str">
        <f aca="false">A248&amp;"_"&amp;B248</f>
        <v>chauas_3</v>
      </c>
      <c r="I248" s="6" t="str">
        <f aca="false">H248&amp;"_"&amp;C248&amp;"_"&amp;G248</f>
        <v>chauas_3_155_Calophyllum brasiliensis</v>
      </c>
      <c r="J248" s="6" t="n">
        <f aca="false">IF(COUNTIF($I$2:I248,I248)=1,1,0)</f>
        <v>1</v>
      </c>
      <c r="K248" s="6" t="n">
        <f aca="false">E248*$Q$2</f>
        <v>89</v>
      </c>
      <c r="L248" s="7" t="n">
        <f aca="false">K248/PI()</f>
        <v>28.3295798703574</v>
      </c>
      <c r="M248" s="8" t="n">
        <f aca="false">PI()*L248^2/40000</f>
        <v>0.0630333152115452</v>
      </c>
      <c r="N248" s="7" t="n">
        <f aca="false">F248*$Q$3</f>
        <v>12</v>
      </c>
      <c r="O248" s="3"/>
      <c r="P248" s="3"/>
      <c r="Q248" s="3"/>
    </row>
    <row r="249" customFormat="false" ht="15" hidden="false" customHeight="false" outlineLevel="0" collapsed="false">
      <c r="A249" s="2" t="s">
        <v>32</v>
      </c>
      <c r="B249" s="2" t="n">
        <v>3</v>
      </c>
      <c r="C249" s="2" t="n">
        <v>156</v>
      </c>
      <c r="D249" s="2" t="n">
        <v>1</v>
      </c>
      <c r="E249" s="2" t="n">
        <v>340</v>
      </c>
      <c r="F249" s="2" t="n">
        <v>100</v>
      </c>
      <c r="G249" s="2" t="s">
        <v>37</v>
      </c>
      <c r="H249" s="6" t="str">
        <f aca="false">A249&amp;"_"&amp;B249</f>
        <v>chauas_3</v>
      </c>
      <c r="I249" s="6" t="str">
        <f aca="false">H249&amp;"_"&amp;C249&amp;"_"&amp;G249</f>
        <v>chauas_3_156_Tabebuia cassinoides</v>
      </c>
      <c r="J249" s="6" t="n">
        <f aca="false">IF(COUNTIF($I$2:I249,I249)=1,1,0)</f>
        <v>1</v>
      </c>
      <c r="K249" s="6" t="n">
        <f aca="false">E249*$Q$2</f>
        <v>34</v>
      </c>
      <c r="L249" s="7" t="n">
        <f aca="false">K249/PI()</f>
        <v>10.8225361302489</v>
      </c>
      <c r="M249" s="8" t="n">
        <f aca="false">PI()*L249^2/40000</f>
        <v>0.00919915571071155</v>
      </c>
      <c r="N249" s="7" t="n">
        <f aca="false">F249*$Q$3</f>
        <v>10</v>
      </c>
      <c r="O249" s="3"/>
      <c r="P249" s="3"/>
      <c r="Q249" s="3"/>
    </row>
    <row r="250" customFormat="false" ht="15" hidden="false" customHeight="false" outlineLevel="0" collapsed="false">
      <c r="A250" s="2" t="s">
        <v>32</v>
      </c>
      <c r="B250" s="2" t="n">
        <v>3</v>
      </c>
      <c r="C250" s="2" t="n">
        <v>156</v>
      </c>
      <c r="D250" s="2" t="n">
        <v>2</v>
      </c>
      <c r="E250" s="2" t="n">
        <v>190</v>
      </c>
      <c r="F250" s="2" t="n">
        <v>100</v>
      </c>
      <c r="G250" s="2" t="s">
        <v>37</v>
      </c>
      <c r="H250" s="6" t="str">
        <f aca="false">A250&amp;"_"&amp;B250</f>
        <v>chauas_3</v>
      </c>
      <c r="I250" s="6" t="str">
        <f aca="false">H250&amp;"_"&amp;C250&amp;"_"&amp;G250</f>
        <v>chauas_3_156_Tabebuia cassinoides</v>
      </c>
      <c r="J250" s="6" t="n">
        <f aca="false">IF(COUNTIF($I$2:I250,I250)=1,1,0)</f>
        <v>0</v>
      </c>
      <c r="K250" s="6" t="n">
        <f aca="false">E250*$Q$2</f>
        <v>19</v>
      </c>
      <c r="L250" s="7" t="n">
        <f aca="false">K250/PI()</f>
        <v>6.04788783749202</v>
      </c>
      <c r="M250" s="8" t="n">
        <f aca="false">PI()*L250^2/40000</f>
        <v>0.00287274672280871</v>
      </c>
      <c r="N250" s="7" t="n">
        <f aca="false">F250*$Q$3</f>
        <v>10</v>
      </c>
      <c r="O250" s="3"/>
      <c r="P250" s="3"/>
      <c r="Q250" s="3"/>
    </row>
    <row r="251" customFormat="false" ht="15" hidden="false" customHeight="false" outlineLevel="0" collapsed="false">
      <c r="A251" s="2" t="s">
        <v>32</v>
      </c>
      <c r="B251" s="2" t="n">
        <v>3</v>
      </c>
      <c r="C251" s="2" t="n">
        <v>156</v>
      </c>
      <c r="D251" s="2" t="n">
        <v>3</v>
      </c>
      <c r="E251" s="2" t="n">
        <v>190</v>
      </c>
      <c r="F251" s="2" t="n">
        <v>100</v>
      </c>
      <c r="G251" s="2" t="s">
        <v>37</v>
      </c>
      <c r="H251" s="6" t="str">
        <f aca="false">A251&amp;"_"&amp;B251</f>
        <v>chauas_3</v>
      </c>
      <c r="I251" s="6" t="str">
        <f aca="false">H251&amp;"_"&amp;C251&amp;"_"&amp;G251</f>
        <v>chauas_3_156_Tabebuia cassinoides</v>
      </c>
      <c r="J251" s="6" t="n">
        <f aca="false">IF(COUNTIF($I$2:I251,I251)=1,1,0)</f>
        <v>0</v>
      </c>
      <c r="K251" s="6" t="n">
        <f aca="false">E251*$Q$2</f>
        <v>19</v>
      </c>
      <c r="L251" s="7" t="n">
        <f aca="false">K251/PI()</f>
        <v>6.04788783749202</v>
      </c>
      <c r="M251" s="8" t="n">
        <f aca="false">PI()*L251^2/40000</f>
        <v>0.00287274672280871</v>
      </c>
      <c r="N251" s="7" t="n">
        <f aca="false">F251*$Q$3</f>
        <v>10</v>
      </c>
      <c r="O251" s="3"/>
      <c r="P251" s="3"/>
      <c r="Q251" s="3"/>
    </row>
    <row r="252" customFormat="false" ht="15" hidden="false" customHeight="false" outlineLevel="0" collapsed="false">
      <c r="A252" s="2" t="s">
        <v>32</v>
      </c>
      <c r="B252" s="2" t="n">
        <v>3</v>
      </c>
      <c r="C252" s="2" t="n">
        <v>156</v>
      </c>
      <c r="D252" s="2" t="n">
        <v>4</v>
      </c>
      <c r="E252" s="2" t="n">
        <v>180</v>
      </c>
      <c r="F252" s="2" t="n">
        <v>100</v>
      </c>
      <c r="G252" s="2" t="s">
        <v>37</v>
      </c>
      <c r="H252" s="6" t="str">
        <f aca="false">A252&amp;"_"&amp;B252</f>
        <v>chauas_3</v>
      </c>
      <c r="I252" s="6" t="str">
        <f aca="false">H252&amp;"_"&amp;C252&amp;"_"&amp;G252</f>
        <v>chauas_3_156_Tabebuia cassinoides</v>
      </c>
      <c r="J252" s="6" t="n">
        <f aca="false">IF(COUNTIF($I$2:I252,I252)=1,1,0)</f>
        <v>0</v>
      </c>
      <c r="K252" s="6" t="n">
        <f aca="false">E252*$Q$2</f>
        <v>18</v>
      </c>
      <c r="L252" s="7" t="n">
        <f aca="false">K252/PI()</f>
        <v>5.72957795130823</v>
      </c>
      <c r="M252" s="8" t="n">
        <f aca="false">PI()*L252^2/40000</f>
        <v>0.0025783100780887</v>
      </c>
      <c r="N252" s="7" t="n">
        <f aca="false">F252*$Q$3</f>
        <v>10</v>
      </c>
      <c r="O252" s="3"/>
      <c r="P252" s="3"/>
      <c r="Q252" s="3"/>
    </row>
    <row r="253" customFormat="false" ht="15" hidden="false" customHeight="false" outlineLevel="0" collapsed="false">
      <c r="A253" s="2" t="s">
        <v>32</v>
      </c>
      <c r="B253" s="2" t="n">
        <v>3</v>
      </c>
      <c r="C253" s="2" t="n">
        <v>157</v>
      </c>
      <c r="D253" s="2" t="n">
        <v>1</v>
      </c>
      <c r="E253" s="2" t="n">
        <v>530</v>
      </c>
      <c r="F253" s="2" t="n">
        <v>110</v>
      </c>
      <c r="G253" s="2" t="s">
        <v>37</v>
      </c>
      <c r="H253" s="6" t="str">
        <f aca="false">A253&amp;"_"&amp;B253</f>
        <v>chauas_3</v>
      </c>
      <c r="I253" s="6" t="str">
        <f aca="false">H253&amp;"_"&amp;C253&amp;"_"&amp;G253</f>
        <v>chauas_3_157_Tabebuia cassinoides</v>
      </c>
      <c r="J253" s="6" t="n">
        <f aca="false">IF(COUNTIF($I$2:I253,I253)=1,1,0)</f>
        <v>1</v>
      </c>
      <c r="K253" s="6" t="n">
        <f aca="false">E253*$Q$2</f>
        <v>53</v>
      </c>
      <c r="L253" s="7" t="n">
        <f aca="false">K253/PI()</f>
        <v>16.8704239677409</v>
      </c>
      <c r="M253" s="8" t="n">
        <f aca="false">PI()*L253^2/40000</f>
        <v>0.0223533117572567</v>
      </c>
      <c r="N253" s="7" t="n">
        <f aca="false">F253*$Q$3</f>
        <v>11</v>
      </c>
      <c r="O253" s="3"/>
      <c r="P253" s="3"/>
      <c r="Q253" s="3"/>
    </row>
    <row r="254" customFormat="false" ht="15" hidden="false" customHeight="false" outlineLevel="0" collapsed="false">
      <c r="A254" s="2" t="s">
        <v>32</v>
      </c>
      <c r="B254" s="2" t="n">
        <v>3</v>
      </c>
      <c r="C254" s="2" t="n">
        <v>158</v>
      </c>
      <c r="D254" s="2" t="n">
        <v>1</v>
      </c>
      <c r="E254" s="2" t="n">
        <v>280</v>
      </c>
      <c r="F254" s="2" t="n">
        <v>90</v>
      </c>
      <c r="G254" s="2" t="s">
        <v>37</v>
      </c>
      <c r="H254" s="6" t="str">
        <f aca="false">A254&amp;"_"&amp;B254</f>
        <v>chauas_3</v>
      </c>
      <c r="I254" s="6" t="str">
        <f aca="false">H254&amp;"_"&amp;C254&amp;"_"&amp;G254</f>
        <v>chauas_3_158_Tabebuia cassinoides</v>
      </c>
      <c r="J254" s="6" t="n">
        <f aca="false">IF(COUNTIF($I$2:I254,I254)=1,1,0)</f>
        <v>1</v>
      </c>
      <c r="K254" s="6" t="n">
        <f aca="false">E254*$Q$2</f>
        <v>28</v>
      </c>
      <c r="L254" s="7" t="n">
        <f aca="false">K254/PI()</f>
        <v>8.91267681314614</v>
      </c>
      <c r="M254" s="8" t="n">
        <f aca="false">PI()*L254^2/40000</f>
        <v>0.0062388737692023</v>
      </c>
      <c r="N254" s="7" t="n">
        <f aca="false">F254*$Q$3</f>
        <v>9</v>
      </c>
      <c r="O254" s="3"/>
      <c r="P254" s="3"/>
      <c r="Q254" s="3"/>
    </row>
    <row r="255" customFormat="false" ht="15" hidden="false" customHeight="false" outlineLevel="0" collapsed="false">
      <c r="A255" s="2" t="s">
        <v>32</v>
      </c>
      <c r="B255" s="2" t="n">
        <v>3</v>
      </c>
      <c r="C255" s="2" t="n">
        <v>158</v>
      </c>
      <c r="D255" s="2" t="n">
        <v>2</v>
      </c>
      <c r="E255" s="2" t="n">
        <v>180</v>
      </c>
      <c r="F255" s="2" t="n">
        <v>90</v>
      </c>
      <c r="G255" s="2" t="s">
        <v>37</v>
      </c>
      <c r="H255" s="6" t="str">
        <f aca="false">A255&amp;"_"&amp;B255</f>
        <v>chauas_3</v>
      </c>
      <c r="I255" s="6" t="str">
        <f aca="false">H255&amp;"_"&amp;C255&amp;"_"&amp;G255</f>
        <v>chauas_3_158_Tabebuia cassinoides</v>
      </c>
      <c r="J255" s="6" t="n">
        <f aca="false">IF(COUNTIF($I$2:I255,I255)=1,1,0)</f>
        <v>0</v>
      </c>
      <c r="K255" s="6" t="n">
        <f aca="false">E255*$Q$2</f>
        <v>18</v>
      </c>
      <c r="L255" s="7" t="n">
        <f aca="false">K255/PI()</f>
        <v>5.72957795130823</v>
      </c>
      <c r="M255" s="8" t="n">
        <f aca="false">PI()*L255^2/40000</f>
        <v>0.0025783100780887</v>
      </c>
      <c r="N255" s="7" t="n">
        <f aca="false">F255*$Q$3</f>
        <v>9</v>
      </c>
      <c r="O255" s="3"/>
      <c r="P255" s="3"/>
      <c r="Q255" s="3"/>
    </row>
    <row r="256" customFormat="false" ht="15" hidden="false" customHeight="false" outlineLevel="0" collapsed="false">
      <c r="A256" s="2" t="s">
        <v>32</v>
      </c>
      <c r="B256" s="2" t="n">
        <v>3</v>
      </c>
      <c r="C256" s="2" t="n">
        <v>159</v>
      </c>
      <c r="D256" s="2" t="n">
        <v>1</v>
      </c>
      <c r="E256" s="2" t="n">
        <v>540</v>
      </c>
      <c r="F256" s="2" t="n">
        <v>120</v>
      </c>
      <c r="G256" s="2" t="s">
        <v>37</v>
      </c>
      <c r="H256" s="6" t="str">
        <f aca="false">A256&amp;"_"&amp;B256</f>
        <v>chauas_3</v>
      </c>
      <c r="I256" s="6" t="str">
        <f aca="false">H256&amp;"_"&amp;C256&amp;"_"&amp;G256</f>
        <v>chauas_3_159_Tabebuia cassinoides</v>
      </c>
      <c r="J256" s="6" t="n">
        <f aca="false">IF(COUNTIF($I$2:I256,I256)=1,1,0)</f>
        <v>1</v>
      </c>
      <c r="K256" s="6" t="n">
        <f aca="false">E256*$Q$2</f>
        <v>54</v>
      </c>
      <c r="L256" s="7" t="n">
        <f aca="false">K256/PI()</f>
        <v>17.1887338539247</v>
      </c>
      <c r="M256" s="8" t="n">
        <f aca="false">PI()*L256^2/40000</f>
        <v>0.0232047907027983</v>
      </c>
      <c r="N256" s="7" t="n">
        <f aca="false">F256*$Q$3</f>
        <v>12</v>
      </c>
      <c r="O256" s="3"/>
      <c r="P256" s="3"/>
      <c r="Q256" s="3"/>
    </row>
    <row r="257" customFormat="false" ht="15" hidden="false" customHeight="false" outlineLevel="0" collapsed="false">
      <c r="A257" s="2" t="s">
        <v>32</v>
      </c>
      <c r="B257" s="2" t="n">
        <v>3</v>
      </c>
      <c r="C257" s="2" t="n">
        <v>160</v>
      </c>
      <c r="D257" s="2" t="n">
        <v>1</v>
      </c>
      <c r="E257" s="2" t="n">
        <v>180</v>
      </c>
      <c r="F257" s="2" t="n">
        <v>50</v>
      </c>
      <c r="G257" s="2" t="s">
        <v>37</v>
      </c>
      <c r="H257" s="6" t="str">
        <f aca="false">A257&amp;"_"&amp;B257</f>
        <v>chauas_3</v>
      </c>
      <c r="I257" s="6" t="str">
        <f aca="false">H257&amp;"_"&amp;C257&amp;"_"&amp;G257</f>
        <v>chauas_3_160_Tabebuia cassinoides</v>
      </c>
      <c r="J257" s="6" t="n">
        <f aca="false">IF(COUNTIF($I$2:I257,I257)=1,1,0)</f>
        <v>1</v>
      </c>
      <c r="K257" s="6" t="n">
        <f aca="false">E257*$Q$2</f>
        <v>18</v>
      </c>
      <c r="L257" s="7" t="n">
        <f aca="false">K257/PI()</f>
        <v>5.72957795130823</v>
      </c>
      <c r="M257" s="8" t="n">
        <f aca="false">PI()*L257^2/40000</f>
        <v>0.0025783100780887</v>
      </c>
      <c r="N257" s="7" t="n">
        <f aca="false">F257*$Q$3</f>
        <v>5</v>
      </c>
      <c r="O257" s="3"/>
      <c r="P257" s="3"/>
      <c r="Q257" s="3"/>
    </row>
    <row r="258" customFormat="false" ht="15" hidden="false" customHeight="false" outlineLevel="0" collapsed="false">
      <c r="A258" s="2" t="s">
        <v>32</v>
      </c>
      <c r="B258" s="2" t="n">
        <v>3</v>
      </c>
      <c r="C258" s="2" t="n">
        <v>161</v>
      </c>
      <c r="D258" s="2" t="n">
        <v>1</v>
      </c>
      <c r="E258" s="2" t="n">
        <v>170</v>
      </c>
      <c r="F258" s="2" t="n">
        <v>50</v>
      </c>
      <c r="G258" s="2" t="s">
        <v>37</v>
      </c>
      <c r="H258" s="6" t="str">
        <f aca="false">A258&amp;"_"&amp;B258</f>
        <v>chauas_3</v>
      </c>
      <c r="I258" s="6" t="str">
        <f aca="false">H258&amp;"_"&amp;C258&amp;"_"&amp;G258</f>
        <v>chauas_3_161_Tabebuia cassinoides</v>
      </c>
      <c r="J258" s="6" t="n">
        <f aca="false">IF(COUNTIF($I$2:I258,I258)=1,1,0)</f>
        <v>1</v>
      </c>
      <c r="K258" s="6" t="n">
        <f aca="false">E258*$Q$2</f>
        <v>17</v>
      </c>
      <c r="L258" s="7" t="n">
        <f aca="false">K258/PI()</f>
        <v>5.41126806512444</v>
      </c>
      <c r="M258" s="8" t="n">
        <f aca="false">PI()*L258^2/40000</f>
        <v>0.00229978892767789</v>
      </c>
      <c r="N258" s="7" t="n">
        <f aca="false">F258*$Q$3</f>
        <v>5</v>
      </c>
      <c r="O258" s="3"/>
      <c r="P258" s="3"/>
      <c r="Q258" s="3"/>
    </row>
    <row r="259" customFormat="false" ht="15" hidden="false" customHeight="false" outlineLevel="0" collapsed="false">
      <c r="A259" s="2" t="s">
        <v>32</v>
      </c>
      <c r="B259" s="2" t="n">
        <v>3</v>
      </c>
      <c r="C259" s="2" t="n">
        <v>162</v>
      </c>
      <c r="D259" s="2" t="n">
        <v>1</v>
      </c>
      <c r="E259" s="2" t="n">
        <v>520</v>
      </c>
      <c r="F259" s="2" t="n">
        <v>100</v>
      </c>
      <c r="G259" s="2" t="s">
        <v>48</v>
      </c>
      <c r="H259" s="6" t="str">
        <f aca="false">A259&amp;"_"&amp;B259</f>
        <v>chauas_3</v>
      </c>
      <c r="I259" s="6" t="str">
        <f aca="false">H259&amp;"_"&amp;C259&amp;"_"&amp;G259</f>
        <v>chauas_3_162_Calophyllum brasiliensis</v>
      </c>
      <c r="J259" s="6" t="n">
        <f aca="false">IF(COUNTIF($I$2:I259,I259)=1,1,0)</f>
        <v>1</v>
      </c>
      <c r="K259" s="6" t="n">
        <f aca="false">E259*$Q$2</f>
        <v>52</v>
      </c>
      <c r="L259" s="7" t="n">
        <f aca="false">K259/PI()</f>
        <v>16.5521140815571</v>
      </c>
      <c r="M259" s="8" t="n">
        <f aca="false">PI()*L259^2/40000</f>
        <v>0.0215177483060242</v>
      </c>
      <c r="N259" s="7" t="n">
        <f aca="false">F259*$Q$3</f>
        <v>10</v>
      </c>
      <c r="O259" s="3"/>
      <c r="P259" s="3"/>
      <c r="Q259" s="3"/>
    </row>
    <row r="260" customFormat="false" ht="15" hidden="false" customHeight="false" outlineLevel="0" collapsed="false">
      <c r="A260" s="2" t="s">
        <v>32</v>
      </c>
      <c r="B260" s="2" t="n">
        <v>3</v>
      </c>
      <c r="C260" s="2" t="n">
        <v>163</v>
      </c>
      <c r="D260" s="2" t="n">
        <v>1</v>
      </c>
      <c r="E260" s="2" t="n">
        <v>290</v>
      </c>
      <c r="F260" s="2" t="n">
        <v>100</v>
      </c>
      <c r="G260" s="2" t="s">
        <v>37</v>
      </c>
      <c r="H260" s="6" t="str">
        <f aca="false">A260&amp;"_"&amp;B260</f>
        <v>chauas_3</v>
      </c>
      <c r="I260" s="6" t="str">
        <f aca="false">H260&amp;"_"&amp;C260&amp;"_"&amp;G260</f>
        <v>chauas_3_163_Tabebuia cassinoides</v>
      </c>
      <c r="J260" s="6" t="n">
        <f aca="false">IF(COUNTIF($I$2:I260,I260)=1,1,0)</f>
        <v>1</v>
      </c>
      <c r="K260" s="6" t="n">
        <f aca="false">E260*$Q$2</f>
        <v>29</v>
      </c>
      <c r="L260" s="7" t="n">
        <f aca="false">K260/PI()</f>
        <v>9.23098669932993</v>
      </c>
      <c r="M260" s="8" t="n">
        <f aca="false">PI()*L260^2/40000</f>
        <v>0.0066924653570142</v>
      </c>
      <c r="N260" s="7" t="n">
        <f aca="false">F260*$Q$3</f>
        <v>10</v>
      </c>
      <c r="O260" s="3"/>
      <c r="P260" s="3"/>
      <c r="Q260" s="3"/>
    </row>
    <row r="261" customFormat="false" ht="15" hidden="false" customHeight="false" outlineLevel="0" collapsed="false">
      <c r="A261" s="2" t="s">
        <v>32</v>
      </c>
      <c r="B261" s="2" t="n">
        <v>3</v>
      </c>
      <c r="C261" s="2" t="n">
        <v>164</v>
      </c>
      <c r="D261" s="2" t="n">
        <v>1</v>
      </c>
      <c r="E261" s="2" t="n">
        <v>190</v>
      </c>
      <c r="F261" s="2" t="n">
        <v>40</v>
      </c>
      <c r="G261" s="2" t="s">
        <v>37</v>
      </c>
      <c r="H261" s="6" t="str">
        <f aca="false">A261&amp;"_"&amp;B261</f>
        <v>chauas_3</v>
      </c>
      <c r="I261" s="6" t="str">
        <f aca="false">H261&amp;"_"&amp;C261&amp;"_"&amp;G261</f>
        <v>chauas_3_164_Tabebuia cassinoides</v>
      </c>
      <c r="J261" s="6" t="n">
        <f aca="false">IF(COUNTIF($I$2:I261,I261)=1,1,0)</f>
        <v>1</v>
      </c>
      <c r="K261" s="6" t="n">
        <f aca="false">E261*$Q$2</f>
        <v>19</v>
      </c>
      <c r="L261" s="7" t="n">
        <f aca="false">K261/PI()</f>
        <v>6.04788783749202</v>
      </c>
      <c r="M261" s="8" t="n">
        <f aca="false">PI()*L261^2/40000</f>
        <v>0.00287274672280871</v>
      </c>
      <c r="N261" s="7" t="n">
        <f aca="false">F261*$Q$3</f>
        <v>4</v>
      </c>
      <c r="O261" s="3"/>
      <c r="P261" s="3"/>
      <c r="Q261" s="3"/>
    </row>
    <row r="262" customFormat="false" ht="15" hidden="false" customHeight="false" outlineLevel="0" collapsed="false">
      <c r="A262" s="2" t="s">
        <v>32</v>
      </c>
      <c r="B262" s="2" t="n">
        <v>3</v>
      </c>
      <c r="C262" s="2" t="n">
        <v>164</v>
      </c>
      <c r="D262" s="2" t="n">
        <v>2</v>
      </c>
      <c r="E262" s="2" t="n">
        <v>260</v>
      </c>
      <c r="F262" s="2" t="n">
        <v>40</v>
      </c>
      <c r="G262" s="2" t="s">
        <v>37</v>
      </c>
      <c r="H262" s="6" t="str">
        <f aca="false">A262&amp;"_"&amp;B262</f>
        <v>chauas_3</v>
      </c>
      <c r="I262" s="6" t="str">
        <f aca="false">H262&amp;"_"&amp;C262&amp;"_"&amp;G262</f>
        <v>chauas_3_164_Tabebuia cassinoides</v>
      </c>
      <c r="J262" s="6" t="n">
        <f aca="false">IF(COUNTIF($I$2:I262,I262)=1,1,0)</f>
        <v>0</v>
      </c>
      <c r="K262" s="6" t="n">
        <f aca="false">E262*$Q$2</f>
        <v>26</v>
      </c>
      <c r="L262" s="7" t="n">
        <f aca="false">K262/PI()</f>
        <v>8.27605704077856</v>
      </c>
      <c r="M262" s="8" t="n">
        <f aca="false">PI()*L262^2/40000</f>
        <v>0.00537943707650606</v>
      </c>
      <c r="N262" s="7" t="n">
        <f aca="false">F262*$Q$3</f>
        <v>4</v>
      </c>
      <c r="O262" s="3"/>
      <c r="P262" s="3"/>
      <c r="Q262" s="3"/>
    </row>
    <row r="263" customFormat="false" ht="15" hidden="false" customHeight="false" outlineLevel="0" collapsed="false">
      <c r="A263" s="2" t="s">
        <v>32</v>
      </c>
      <c r="B263" s="2" t="n">
        <v>3</v>
      </c>
      <c r="C263" s="2" t="n">
        <v>164</v>
      </c>
      <c r="D263" s="2" t="n">
        <v>3</v>
      </c>
      <c r="E263" s="2" t="n">
        <v>170</v>
      </c>
      <c r="F263" s="2" t="n">
        <v>40</v>
      </c>
      <c r="G263" s="2" t="s">
        <v>37</v>
      </c>
      <c r="H263" s="6" t="str">
        <f aca="false">A263&amp;"_"&amp;B263</f>
        <v>chauas_3</v>
      </c>
      <c r="I263" s="6" t="str">
        <f aca="false">H263&amp;"_"&amp;C263&amp;"_"&amp;G263</f>
        <v>chauas_3_164_Tabebuia cassinoides</v>
      </c>
      <c r="J263" s="6" t="n">
        <f aca="false">IF(COUNTIF($I$2:I263,I263)=1,1,0)</f>
        <v>0</v>
      </c>
      <c r="K263" s="6" t="n">
        <f aca="false">E263*$Q$2</f>
        <v>17</v>
      </c>
      <c r="L263" s="7" t="n">
        <f aca="false">K263/PI()</f>
        <v>5.41126806512444</v>
      </c>
      <c r="M263" s="8" t="n">
        <f aca="false">PI()*L263^2/40000</f>
        <v>0.00229978892767789</v>
      </c>
      <c r="N263" s="7" t="n">
        <f aca="false">F263*$Q$3</f>
        <v>4</v>
      </c>
      <c r="O263" s="3"/>
      <c r="P263" s="3"/>
      <c r="Q263" s="3"/>
    </row>
    <row r="264" customFormat="false" ht="15" hidden="false" customHeight="false" outlineLevel="0" collapsed="false">
      <c r="A264" s="2" t="s">
        <v>32</v>
      </c>
      <c r="B264" s="2" t="n">
        <v>3</v>
      </c>
      <c r="C264" s="2" t="n">
        <v>165</v>
      </c>
      <c r="D264" s="2" t="n">
        <v>1</v>
      </c>
      <c r="E264" s="2" t="n">
        <v>440</v>
      </c>
      <c r="F264" s="2" t="n">
        <v>120</v>
      </c>
      <c r="G264" s="2" t="s">
        <v>37</v>
      </c>
      <c r="H264" s="6" t="str">
        <f aca="false">A264&amp;"_"&amp;B264</f>
        <v>chauas_3</v>
      </c>
      <c r="I264" s="6" t="str">
        <f aca="false">H264&amp;"_"&amp;C264&amp;"_"&amp;G264</f>
        <v>chauas_3_165_Tabebuia cassinoides</v>
      </c>
      <c r="J264" s="6" t="n">
        <f aca="false">IF(COUNTIF($I$2:I264,I264)=1,1,0)</f>
        <v>1</v>
      </c>
      <c r="K264" s="6" t="n">
        <f aca="false">E264*$Q$2</f>
        <v>44</v>
      </c>
      <c r="L264" s="7" t="n">
        <f aca="false">K264/PI()</f>
        <v>14.0056349920868</v>
      </c>
      <c r="M264" s="8" t="n">
        <f aca="false">PI()*L264^2/40000</f>
        <v>0.0154061984912955</v>
      </c>
      <c r="N264" s="7" t="n">
        <f aca="false">F264*$Q$3</f>
        <v>12</v>
      </c>
      <c r="O264" s="3"/>
      <c r="P264" s="3"/>
      <c r="Q264" s="3"/>
    </row>
    <row r="265" customFormat="false" ht="15" hidden="false" customHeight="false" outlineLevel="0" collapsed="false">
      <c r="A265" s="2" t="s">
        <v>32</v>
      </c>
      <c r="B265" s="2" t="n">
        <v>3</v>
      </c>
      <c r="C265" s="2" t="n">
        <v>166</v>
      </c>
      <c r="D265" s="2" t="n">
        <v>1</v>
      </c>
      <c r="E265" s="2" t="n">
        <v>200</v>
      </c>
      <c r="F265" s="2" t="n">
        <v>90</v>
      </c>
      <c r="G265" s="2" t="s">
        <v>37</v>
      </c>
      <c r="H265" s="6" t="str">
        <f aca="false">A265&amp;"_"&amp;B265</f>
        <v>chauas_3</v>
      </c>
      <c r="I265" s="6" t="str">
        <f aca="false">H265&amp;"_"&amp;C265&amp;"_"&amp;G265</f>
        <v>chauas_3_166_Tabebuia cassinoides</v>
      </c>
      <c r="J265" s="6" t="n">
        <f aca="false">IF(COUNTIF($I$2:I265,I265)=1,1,0)</f>
        <v>1</v>
      </c>
      <c r="K265" s="6" t="n">
        <f aca="false">E265*$Q$2</f>
        <v>20</v>
      </c>
      <c r="L265" s="7" t="n">
        <f aca="false">K265/PI()</f>
        <v>6.36619772367581</v>
      </c>
      <c r="M265" s="8" t="n">
        <f aca="false">PI()*L265^2/40000</f>
        <v>0.00318309886183791</v>
      </c>
      <c r="N265" s="7" t="n">
        <f aca="false">F265*$Q$3</f>
        <v>9</v>
      </c>
      <c r="O265" s="3"/>
      <c r="P265" s="3"/>
      <c r="Q265" s="3"/>
    </row>
    <row r="266" customFormat="false" ht="15" hidden="false" customHeight="false" outlineLevel="0" collapsed="false">
      <c r="A266" s="2" t="s">
        <v>32</v>
      </c>
      <c r="B266" s="2" t="n">
        <v>3</v>
      </c>
      <c r="C266" s="2" t="n">
        <v>166</v>
      </c>
      <c r="D266" s="2" t="n">
        <v>2</v>
      </c>
      <c r="E266" s="2" t="n">
        <v>200</v>
      </c>
      <c r="F266" s="2" t="n">
        <v>90</v>
      </c>
      <c r="G266" s="2" t="s">
        <v>37</v>
      </c>
      <c r="H266" s="6" t="str">
        <f aca="false">A266&amp;"_"&amp;B266</f>
        <v>chauas_3</v>
      </c>
      <c r="I266" s="6" t="str">
        <f aca="false">H266&amp;"_"&amp;C266&amp;"_"&amp;G266</f>
        <v>chauas_3_166_Tabebuia cassinoides</v>
      </c>
      <c r="J266" s="6" t="n">
        <f aca="false">IF(COUNTIF($I$2:I266,I266)=1,1,0)</f>
        <v>0</v>
      </c>
      <c r="K266" s="6" t="n">
        <f aca="false">E266*$Q$2</f>
        <v>20</v>
      </c>
      <c r="L266" s="7" t="n">
        <f aca="false">K266/PI()</f>
        <v>6.36619772367581</v>
      </c>
      <c r="M266" s="8" t="n">
        <f aca="false">PI()*L266^2/40000</f>
        <v>0.00318309886183791</v>
      </c>
      <c r="N266" s="7" t="n">
        <f aca="false">F266*$Q$3</f>
        <v>9</v>
      </c>
      <c r="O266" s="3"/>
      <c r="P266" s="3"/>
      <c r="Q266" s="3"/>
    </row>
    <row r="267" customFormat="false" ht="15" hidden="false" customHeight="false" outlineLevel="0" collapsed="false">
      <c r="A267" s="2" t="s">
        <v>32</v>
      </c>
      <c r="B267" s="2" t="n">
        <v>3</v>
      </c>
      <c r="C267" s="2" t="n">
        <v>166</v>
      </c>
      <c r="D267" s="2" t="n">
        <v>3</v>
      </c>
      <c r="E267" s="2" t="n">
        <v>280</v>
      </c>
      <c r="F267" s="2" t="n">
        <v>90</v>
      </c>
      <c r="G267" s="2" t="s">
        <v>37</v>
      </c>
      <c r="H267" s="6" t="str">
        <f aca="false">A267&amp;"_"&amp;B267</f>
        <v>chauas_3</v>
      </c>
      <c r="I267" s="6" t="str">
        <f aca="false">H267&amp;"_"&amp;C267&amp;"_"&amp;G267</f>
        <v>chauas_3_166_Tabebuia cassinoides</v>
      </c>
      <c r="J267" s="6" t="n">
        <f aca="false">IF(COUNTIF($I$2:I267,I267)=1,1,0)</f>
        <v>0</v>
      </c>
      <c r="K267" s="6" t="n">
        <f aca="false">E267*$Q$2</f>
        <v>28</v>
      </c>
      <c r="L267" s="7" t="n">
        <f aca="false">K267/PI()</f>
        <v>8.91267681314614</v>
      </c>
      <c r="M267" s="8" t="n">
        <f aca="false">PI()*L267^2/40000</f>
        <v>0.0062388737692023</v>
      </c>
      <c r="N267" s="7" t="n">
        <f aca="false">F267*$Q$3</f>
        <v>9</v>
      </c>
      <c r="O267" s="3"/>
      <c r="P267" s="3"/>
      <c r="Q267" s="3"/>
    </row>
    <row r="268" customFormat="false" ht="15" hidden="false" customHeight="false" outlineLevel="0" collapsed="false">
      <c r="A268" s="2" t="s">
        <v>32</v>
      </c>
      <c r="B268" s="2" t="n">
        <v>3</v>
      </c>
      <c r="C268" s="2" t="n">
        <v>166</v>
      </c>
      <c r="D268" s="2" t="n">
        <v>4</v>
      </c>
      <c r="E268" s="2" t="n">
        <v>280</v>
      </c>
      <c r="F268" s="2" t="n">
        <v>90</v>
      </c>
      <c r="G268" s="2" t="s">
        <v>37</v>
      </c>
      <c r="H268" s="6" t="str">
        <f aca="false">A268&amp;"_"&amp;B268</f>
        <v>chauas_3</v>
      </c>
      <c r="I268" s="6" t="str">
        <f aca="false">H268&amp;"_"&amp;C268&amp;"_"&amp;G268</f>
        <v>chauas_3_166_Tabebuia cassinoides</v>
      </c>
      <c r="J268" s="6" t="n">
        <f aca="false">IF(COUNTIF($I$2:I268,I268)=1,1,0)</f>
        <v>0</v>
      </c>
      <c r="K268" s="6" t="n">
        <f aca="false">E268*$Q$2</f>
        <v>28</v>
      </c>
      <c r="L268" s="7" t="n">
        <f aca="false">K268/PI()</f>
        <v>8.91267681314614</v>
      </c>
      <c r="M268" s="8" t="n">
        <f aca="false">PI()*L268^2/40000</f>
        <v>0.0062388737692023</v>
      </c>
      <c r="N268" s="7" t="n">
        <f aca="false">F268*$Q$3</f>
        <v>9</v>
      </c>
      <c r="O268" s="3"/>
      <c r="P268" s="3"/>
      <c r="Q268" s="3"/>
    </row>
    <row r="269" customFormat="false" ht="15" hidden="false" customHeight="false" outlineLevel="0" collapsed="false">
      <c r="A269" s="2" t="s">
        <v>32</v>
      </c>
      <c r="B269" s="2" t="n">
        <v>3</v>
      </c>
      <c r="C269" s="2" t="n">
        <v>167</v>
      </c>
      <c r="D269" s="2" t="n">
        <v>1</v>
      </c>
      <c r="E269" s="2" t="n">
        <v>240</v>
      </c>
      <c r="F269" s="2" t="n">
        <v>90</v>
      </c>
      <c r="G269" s="2" t="s">
        <v>37</v>
      </c>
      <c r="H269" s="6" t="str">
        <f aca="false">A269&amp;"_"&amp;B269</f>
        <v>chauas_3</v>
      </c>
      <c r="I269" s="6" t="str">
        <f aca="false">H269&amp;"_"&amp;C269&amp;"_"&amp;G269</f>
        <v>chauas_3_167_Tabebuia cassinoides</v>
      </c>
      <c r="J269" s="6" t="n">
        <f aca="false">IF(COUNTIF($I$2:I269,I269)=1,1,0)</f>
        <v>1</v>
      </c>
      <c r="K269" s="6" t="n">
        <f aca="false">E269*$Q$2</f>
        <v>24</v>
      </c>
      <c r="L269" s="7" t="n">
        <f aca="false">K269/PI()</f>
        <v>7.63943726841098</v>
      </c>
      <c r="M269" s="8" t="n">
        <f aca="false">PI()*L269^2/40000</f>
        <v>0.00458366236104659</v>
      </c>
      <c r="N269" s="7" t="n">
        <f aca="false">F269*$Q$3</f>
        <v>9</v>
      </c>
      <c r="O269" s="3"/>
      <c r="P269" s="3"/>
      <c r="Q269" s="3"/>
    </row>
    <row r="270" customFormat="false" ht="15" hidden="false" customHeight="false" outlineLevel="0" collapsed="false">
      <c r="A270" s="2" t="s">
        <v>32</v>
      </c>
      <c r="B270" s="2" t="n">
        <v>3</v>
      </c>
      <c r="C270" s="2" t="n">
        <v>168</v>
      </c>
      <c r="D270" s="2" t="n">
        <v>1</v>
      </c>
      <c r="E270" s="2" t="n">
        <v>210</v>
      </c>
      <c r="F270" s="2" t="n">
        <v>100</v>
      </c>
      <c r="G270" s="2" t="s">
        <v>37</v>
      </c>
      <c r="H270" s="6" t="str">
        <f aca="false">A270&amp;"_"&amp;B270</f>
        <v>chauas_3</v>
      </c>
      <c r="I270" s="6" t="str">
        <f aca="false">H270&amp;"_"&amp;C270&amp;"_"&amp;G270</f>
        <v>chauas_3_168_Tabebuia cassinoides</v>
      </c>
      <c r="J270" s="6" t="n">
        <f aca="false">IF(COUNTIF($I$2:I270,I270)=1,1,0)</f>
        <v>1</v>
      </c>
      <c r="K270" s="6" t="n">
        <f aca="false">E270*$Q$2</f>
        <v>21</v>
      </c>
      <c r="L270" s="7" t="n">
        <f aca="false">K270/PI()</f>
        <v>6.68450760985961</v>
      </c>
      <c r="M270" s="8" t="n">
        <f aca="false">PI()*L270^2/40000</f>
        <v>0.00350936649517629</v>
      </c>
      <c r="N270" s="7" t="n">
        <f aca="false">F270*$Q$3</f>
        <v>10</v>
      </c>
      <c r="O270" s="3"/>
      <c r="P270" s="3"/>
      <c r="Q270" s="3"/>
    </row>
    <row r="271" customFormat="false" ht="15" hidden="false" customHeight="false" outlineLevel="0" collapsed="false">
      <c r="A271" s="2" t="s">
        <v>32</v>
      </c>
      <c r="B271" s="2" t="n">
        <v>3</v>
      </c>
      <c r="C271" s="2" t="n">
        <v>168</v>
      </c>
      <c r="D271" s="2" t="n">
        <v>2</v>
      </c>
      <c r="E271" s="2" t="n">
        <v>410</v>
      </c>
      <c r="F271" s="2" t="n">
        <v>100</v>
      </c>
      <c r="G271" s="2" t="s">
        <v>37</v>
      </c>
      <c r="H271" s="6" t="str">
        <f aca="false">A271&amp;"_"&amp;B271</f>
        <v>chauas_3</v>
      </c>
      <c r="I271" s="6" t="str">
        <f aca="false">H271&amp;"_"&amp;C271&amp;"_"&amp;G271</f>
        <v>chauas_3_168_Tabebuia cassinoides</v>
      </c>
      <c r="J271" s="6" t="n">
        <f aca="false">IF(COUNTIF($I$2:I271,I271)=1,1,0)</f>
        <v>0</v>
      </c>
      <c r="K271" s="6" t="n">
        <f aca="false">E271*$Q$2</f>
        <v>41</v>
      </c>
      <c r="L271" s="7" t="n">
        <f aca="false">K271/PI()</f>
        <v>13.0507053335354</v>
      </c>
      <c r="M271" s="8" t="n">
        <f aca="false">PI()*L271^2/40000</f>
        <v>0.0133769729668738</v>
      </c>
      <c r="N271" s="7" t="n">
        <f aca="false">F271*$Q$3</f>
        <v>10</v>
      </c>
      <c r="O271" s="3"/>
      <c r="P271" s="3"/>
      <c r="Q271" s="3"/>
    </row>
    <row r="272" customFormat="false" ht="15" hidden="false" customHeight="false" outlineLevel="0" collapsed="false">
      <c r="A272" s="2" t="s">
        <v>32</v>
      </c>
      <c r="B272" s="2" t="n">
        <v>3</v>
      </c>
      <c r="C272" s="2" t="n">
        <v>168</v>
      </c>
      <c r="D272" s="2" t="n">
        <v>3</v>
      </c>
      <c r="E272" s="2" t="n">
        <v>190</v>
      </c>
      <c r="F272" s="2" t="n">
        <v>100</v>
      </c>
      <c r="G272" s="2" t="s">
        <v>37</v>
      </c>
      <c r="H272" s="6" t="str">
        <f aca="false">A272&amp;"_"&amp;B272</f>
        <v>chauas_3</v>
      </c>
      <c r="I272" s="6" t="str">
        <f aca="false">H272&amp;"_"&amp;C272&amp;"_"&amp;G272</f>
        <v>chauas_3_168_Tabebuia cassinoides</v>
      </c>
      <c r="J272" s="6" t="n">
        <f aca="false">IF(COUNTIF($I$2:I272,I272)=1,1,0)</f>
        <v>0</v>
      </c>
      <c r="K272" s="6" t="n">
        <f aca="false">E272*$Q$2</f>
        <v>19</v>
      </c>
      <c r="L272" s="7" t="n">
        <f aca="false">K272/PI()</f>
        <v>6.04788783749202</v>
      </c>
      <c r="M272" s="8" t="n">
        <f aca="false">PI()*L272^2/40000</f>
        <v>0.00287274672280871</v>
      </c>
      <c r="N272" s="7" t="n">
        <f aca="false">F272*$Q$3</f>
        <v>10</v>
      </c>
      <c r="O272" s="3"/>
      <c r="P272" s="3"/>
      <c r="Q272" s="3"/>
    </row>
    <row r="273" customFormat="false" ht="15" hidden="false" customHeight="false" outlineLevel="0" collapsed="false">
      <c r="A273" s="2" t="s">
        <v>32</v>
      </c>
      <c r="B273" s="2" t="n">
        <v>3</v>
      </c>
      <c r="C273" s="2" t="n">
        <v>168</v>
      </c>
      <c r="D273" s="2" t="n">
        <v>4</v>
      </c>
      <c r="E273" s="2" t="n">
        <v>220</v>
      </c>
      <c r="F273" s="2" t="n">
        <v>100</v>
      </c>
      <c r="G273" s="2" t="s">
        <v>37</v>
      </c>
      <c r="H273" s="6" t="str">
        <f aca="false">A273&amp;"_"&amp;B273</f>
        <v>chauas_3</v>
      </c>
      <c r="I273" s="6" t="str">
        <f aca="false">H273&amp;"_"&amp;C273&amp;"_"&amp;G273</f>
        <v>chauas_3_168_Tabebuia cassinoides</v>
      </c>
      <c r="J273" s="6" t="n">
        <f aca="false">IF(COUNTIF($I$2:I273,I273)=1,1,0)</f>
        <v>0</v>
      </c>
      <c r="K273" s="6" t="n">
        <f aca="false">E273*$Q$2</f>
        <v>22</v>
      </c>
      <c r="L273" s="7" t="n">
        <f aca="false">K273/PI()</f>
        <v>7.0028174960434</v>
      </c>
      <c r="M273" s="8" t="n">
        <f aca="false">PI()*L273^2/40000</f>
        <v>0.00385154962282387</v>
      </c>
      <c r="N273" s="7" t="n">
        <f aca="false">F273*$Q$3</f>
        <v>10</v>
      </c>
      <c r="O273" s="3"/>
      <c r="P273" s="3"/>
      <c r="Q273" s="3"/>
    </row>
    <row r="274" customFormat="false" ht="15" hidden="false" customHeight="false" outlineLevel="0" collapsed="false">
      <c r="A274" s="2" t="s">
        <v>32</v>
      </c>
      <c r="B274" s="2" t="n">
        <v>3</v>
      </c>
      <c r="C274" s="2" t="n">
        <v>169</v>
      </c>
      <c r="D274" s="2" t="n">
        <v>1</v>
      </c>
      <c r="E274" s="2" t="n">
        <v>280</v>
      </c>
      <c r="F274" s="2" t="n">
        <v>100</v>
      </c>
      <c r="G274" s="2" t="s">
        <v>37</v>
      </c>
      <c r="H274" s="6" t="str">
        <f aca="false">A274&amp;"_"&amp;B274</f>
        <v>chauas_3</v>
      </c>
      <c r="I274" s="6" t="str">
        <f aca="false">H274&amp;"_"&amp;C274&amp;"_"&amp;G274</f>
        <v>chauas_3_169_Tabebuia cassinoides</v>
      </c>
      <c r="J274" s="6" t="n">
        <f aca="false">IF(COUNTIF($I$2:I274,I274)=1,1,0)</f>
        <v>1</v>
      </c>
      <c r="K274" s="6" t="n">
        <f aca="false">E274*$Q$2</f>
        <v>28</v>
      </c>
      <c r="L274" s="7" t="n">
        <f aca="false">K274/PI()</f>
        <v>8.91267681314614</v>
      </c>
      <c r="M274" s="8" t="n">
        <f aca="false">PI()*L274^2/40000</f>
        <v>0.0062388737692023</v>
      </c>
      <c r="N274" s="7" t="n">
        <f aca="false">F274*$Q$3</f>
        <v>10</v>
      </c>
      <c r="O274" s="3"/>
      <c r="P274" s="3"/>
      <c r="Q274" s="3"/>
    </row>
    <row r="275" customFormat="false" ht="15" hidden="false" customHeight="false" outlineLevel="0" collapsed="false">
      <c r="A275" s="2" t="s">
        <v>32</v>
      </c>
      <c r="B275" s="2" t="n">
        <v>3</v>
      </c>
      <c r="C275" s="2" t="n">
        <v>169</v>
      </c>
      <c r="D275" s="2" t="n">
        <v>2</v>
      </c>
      <c r="E275" s="2" t="n">
        <v>330</v>
      </c>
      <c r="F275" s="2" t="n">
        <v>100</v>
      </c>
      <c r="G275" s="2" t="s">
        <v>37</v>
      </c>
      <c r="H275" s="6" t="str">
        <f aca="false">A275&amp;"_"&amp;B275</f>
        <v>chauas_3</v>
      </c>
      <c r="I275" s="6" t="str">
        <f aca="false">H275&amp;"_"&amp;C275&amp;"_"&amp;G275</f>
        <v>chauas_3_169_Tabebuia cassinoides</v>
      </c>
      <c r="J275" s="6" t="n">
        <f aca="false">IF(COUNTIF($I$2:I275,I275)=1,1,0)</f>
        <v>0</v>
      </c>
      <c r="K275" s="6" t="n">
        <f aca="false">E275*$Q$2</f>
        <v>33</v>
      </c>
      <c r="L275" s="7" t="n">
        <f aca="false">K275/PI()</f>
        <v>10.5042262440651</v>
      </c>
      <c r="M275" s="8" t="n">
        <f aca="false">PI()*L275^2/40000</f>
        <v>0.0086659866513537</v>
      </c>
      <c r="N275" s="7" t="n">
        <f aca="false">F275*$Q$3</f>
        <v>10</v>
      </c>
      <c r="O275" s="3"/>
      <c r="P275" s="3"/>
      <c r="Q275" s="3"/>
    </row>
    <row r="276" customFormat="false" ht="15" hidden="false" customHeight="false" outlineLevel="0" collapsed="false">
      <c r="A276" s="2" t="s">
        <v>32</v>
      </c>
      <c r="B276" s="2" t="n">
        <v>3</v>
      </c>
      <c r="C276" s="2" t="n">
        <v>170</v>
      </c>
      <c r="D276" s="2" t="n">
        <v>1</v>
      </c>
      <c r="E276" s="2" t="n">
        <v>180</v>
      </c>
      <c r="F276" s="2" t="n">
        <v>40</v>
      </c>
      <c r="G276" s="2" t="s">
        <v>37</v>
      </c>
      <c r="H276" s="6" t="str">
        <f aca="false">A276&amp;"_"&amp;B276</f>
        <v>chauas_3</v>
      </c>
      <c r="I276" s="6" t="str">
        <f aca="false">H276&amp;"_"&amp;C276&amp;"_"&amp;G276</f>
        <v>chauas_3_170_Tabebuia cassinoides</v>
      </c>
      <c r="J276" s="6" t="n">
        <f aca="false">IF(COUNTIF($I$2:I276,I276)=1,1,0)</f>
        <v>1</v>
      </c>
      <c r="K276" s="6" t="n">
        <f aca="false">E276*$Q$2</f>
        <v>18</v>
      </c>
      <c r="L276" s="7" t="n">
        <f aca="false">K276/PI()</f>
        <v>5.72957795130823</v>
      </c>
      <c r="M276" s="8" t="n">
        <f aca="false">PI()*L276^2/40000</f>
        <v>0.0025783100780887</v>
      </c>
      <c r="N276" s="7" t="n">
        <f aca="false">F276*$Q$3</f>
        <v>4</v>
      </c>
      <c r="O276" s="3"/>
      <c r="P276" s="3"/>
      <c r="Q276" s="3"/>
    </row>
    <row r="277" customFormat="false" ht="15" hidden="false" customHeight="false" outlineLevel="0" collapsed="false">
      <c r="A277" s="2" t="s">
        <v>32</v>
      </c>
      <c r="B277" s="2" t="n">
        <v>4</v>
      </c>
      <c r="C277" s="2" t="n">
        <v>171</v>
      </c>
      <c r="D277" s="2" t="n">
        <v>1</v>
      </c>
      <c r="E277" s="2" t="n">
        <v>170</v>
      </c>
      <c r="F277" s="2" t="n">
        <v>80</v>
      </c>
      <c r="G277" s="2" t="s">
        <v>37</v>
      </c>
      <c r="H277" s="6" t="str">
        <f aca="false">A277&amp;"_"&amp;B277</f>
        <v>chauas_4</v>
      </c>
      <c r="I277" s="6" t="str">
        <f aca="false">H277&amp;"_"&amp;C277&amp;"_"&amp;G277</f>
        <v>chauas_4_171_Tabebuia cassinoides</v>
      </c>
      <c r="J277" s="6" t="n">
        <f aca="false">IF(COUNTIF($I$2:I277,I277)=1,1,0)</f>
        <v>1</v>
      </c>
      <c r="K277" s="6" t="n">
        <f aca="false">E277*$Q$2</f>
        <v>17</v>
      </c>
      <c r="L277" s="7" t="n">
        <f aca="false">K277/PI()</f>
        <v>5.41126806512444</v>
      </c>
      <c r="M277" s="8" t="n">
        <f aca="false">PI()*L277^2/40000</f>
        <v>0.00229978892767789</v>
      </c>
      <c r="N277" s="7" t="n">
        <f aca="false">F277*$Q$3</f>
        <v>8</v>
      </c>
      <c r="O277" s="3"/>
      <c r="P277" s="3"/>
      <c r="Q277" s="3"/>
    </row>
    <row r="278" customFormat="false" ht="15" hidden="false" customHeight="false" outlineLevel="0" collapsed="false">
      <c r="A278" s="2" t="s">
        <v>32</v>
      </c>
      <c r="B278" s="2" t="n">
        <v>4</v>
      </c>
      <c r="C278" s="2" t="n">
        <v>171</v>
      </c>
      <c r="D278" s="2" t="n">
        <v>2</v>
      </c>
      <c r="E278" s="2" t="n">
        <v>230</v>
      </c>
      <c r="F278" s="2" t="n">
        <v>80</v>
      </c>
      <c r="G278" s="2" t="s">
        <v>37</v>
      </c>
      <c r="H278" s="6" t="str">
        <f aca="false">A278&amp;"_"&amp;B278</f>
        <v>chauas_4</v>
      </c>
      <c r="I278" s="6" t="str">
        <f aca="false">H278&amp;"_"&amp;C278&amp;"_"&amp;G278</f>
        <v>chauas_4_171_Tabebuia cassinoides</v>
      </c>
      <c r="J278" s="6" t="n">
        <f aca="false">IF(COUNTIF($I$2:I278,I278)=1,1,0)</f>
        <v>0</v>
      </c>
      <c r="K278" s="6" t="n">
        <f aca="false">E278*$Q$2</f>
        <v>23</v>
      </c>
      <c r="L278" s="7" t="n">
        <f aca="false">K278/PI()</f>
        <v>7.32112738222719</v>
      </c>
      <c r="M278" s="8" t="n">
        <f aca="false">PI()*L278^2/40000</f>
        <v>0.00420964824478063</v>
      </c>
      <c r="N278" s="7" t="n">
        <f aca="false">F278*$Q$3</f>
        <v>8</v>
      </c>
      <c r="O278" s="3"/>
      <c r="P278" s="3"/>
      <c r="Q278" s="3"/>
    </row>
    <row r="279" customFormat="false" ht="15" hidden="false" customHeight="false" outlineLevel="0" collapsed="false">
      <c r="A279" s="2" t="s">
        <v>32</v>
      </c>
      <c r="B279" s="2" t="n">
        <v>4</v>
      </c>
      <c r="C279" s="2" t="n">
        <v>171</v>
      </c>
      <c r="D279" s="2" t="n">
        <v>3</v>
      </c>
      <c r="E279" s="2" t="n">
        <v>170</v>
      </c>
      <c r="F279" s="2" t="n">
        <v>80</v>
      </c>
      <c r="G279" s="2" t="s">
        <v>37</v>
      </c>
      <c r="H279" s="6" t="str">
        <f aca="false">A279&amp;"_"&amp;B279</f>
        <v>chauas_4</v>
      </c>
      <c r="I279" s="6" t="str">
        <f aca="false">H279&amp;"_"&amp;C279&amp;"_"&amp;G279</f>
        <v>chauas_4_171_Tabebuia cassinoides</v>
      </c>
      <c r="J279" s="6" t="n">
        <f aca="false">IF(COUNTIF($I$2:I279,I279)=1,1,0)</f>
        <v>0</v>
      </c>
      <c r="K279" s="6" t="n">
        <f aca="false">E279*$Q$2</f>
        <v>17</v>
      </c>
      <c r="L279" s="7" t="n">
        <f aca="false">K279/PI()</f>
        <v>5.41126806512444</v>
      </c>
      <c r="M279" s="8" t="n">
        <f aca="false">PI()*L279^2/40000</f>
        <v>0.00229978892767789</v>
      </c>
      <c r="N279" s="7" t="n">
        <f aca="false">F279*$Q$3</f>
        <v>8</v>
      </c>
      <c r="O279" s="3"/>
      <c r="P279" s="3"/>
      <c r="Q279" s="3"/>
    </row>
    <row r="280" customFormat="false" ht="15" hidden="false" customHeight="false" outlineLevel="0" collapsed="false">
      <c r="A280" s="2" t="s">
        <v>32</v>
      </c>
      <c r="B280" s="2" t="n">
        <v>4</v>
      </c>
      <c r="C280" s="2" t="n">
        <v>172</v>
      </c>
      <c r="D280" s="2" t="n">
        <v>1</v>
      </c>
      <c r="E280" s="2" t="n">
        <v>230</v>
      </c>
      <c r="F280" s="2" t="n">
        <v>90</v>
      </c>
      <c r="G280" s="2" t="s">
        <v>37</v>
      </c>
      <c r="H280" s="6" t="str">
        <f aca="false">A280&amp;"_"&amp;B280</f>
        <v>chauas_4</v>
      </c>
      <c r="I280" s="6" t="str">
        <f aca="false">H280&amp;"_"&amp;C280&amp;"_"&amp;G280</f>
        <v>chauas_4_172_Tabebuia cassinoides</v>
      </c>
      <c r="J280" s="6" t="n">
        <f aca="false">IF(COUNTIF($I$2:I280,I280)=1,1,0)</f>
        <v>1</v>
      </c>
      <c r="K280" s="6" t="n">
        <f aca="false">E280*$Q$2</f>
        <v>23</v>
      </c>
      <c r="L280" s="7" t="n">
        <f aca="false">K280/PI()</f>
        <v>7.32112738222719</v>
      </c>
      <c r="M280" s="8" t="n">
        <f aca="false">PI()*L280^2/40000</f>
        <v>0.00420964824478063</v>
      </c>
      <c r="N280" s="7" t="n">
        <f aca="false">F280*$Q$3</f>
        <v>9</v>
      </c>
      <c r="O280" s="3"/>
      <c r="P280" s="3"/>
      <c r="Q280" s="3"/>
    </row>
    <row r="281" customFormat="false" ht="15" hidden="false" customHeight="false" outlineLevel="0" collapsed="false">
      <c r="A281" s="2" t="s">
        <v>32</v>
      </c>
      <c r="B281" s="2" t="n">
        <v>4</v>
      </c>
      <c r="C281" s="2" t="n">
        <v>173</v>
      </c>
      <c r="D281" s="2" t="n">
        <v>1</v>
      </c>
      <c r="E281" s="2" t="n">
        <v>220</v>
      </c>
      <c r="F281" s="2" t="n">
        <v>100</v>
      </c>
      <c r="G281" s="2" t="s">
        <v>33</v>
      </c>
      <c r="H281" s="6" t="str">
        <f aca="false">A281&amp;"_"&amp;B281</f>
        <v>chauas_4</v>
      </c>
      <c r="I281" s="6" t="str">
        <f aca="false">H281&amp;"_"&amp;C281&amp;"_"&amp;G281</f>
        <v>chauas_4_173_Myrcia sulfiflora</v>
      </c>
      <c r="J281" s="6" t="n">
        <f aca="false">IF(COUNTIF($I$2:I281,I281)=1,1,0)</f>
        <v>1</v>
      </c>
      <c r="K281" s="6" t="n">
        <f aca="false">E281*$Q$2</f>
        <v>22</v>
      </c>
      <c r="L281" s="7" t="n">
        <f aca="false">K281/PI()</f>
        <v>7.0028174960434</v>
      </c>
      <c r="M281" s="8" t="n">
        <f aca="false">PI()*L281^2/40000</f>
        <v>0.00385154962282387</v>
      </c>
      <c r="N281" s="7" t="n">
        <f aca="false">F281*$Q$3</f>
        <v>10</v>
      </c>
      <c r="O281" s="3"/>
      <c r="P281" s="3"/>
      <c r="Q281" s="3"/>
    </row>
    <row r="282" customFormat="false" ht="15" hidden="false" customHeight="false" outlineLevel="0" collapsed="false">
      <c r="A282" s="2" t="s">
        <v>32</v>
      </c>
      <c r="B282" s="2" t="n">
        <v>4</v>
      </c>
      <c r="C282" s="2" t="n">
        <v>173</v>
      </c>
      <c r="D282" s="2" t="n">
        <v>2</v>
      </c>
      <c r="E282" s="2" t="n">
        <v>230</v>
      </c>
      <c r="F282" s="2" t="n">
        <v>100</v>
      </c>
      <c r="G282" s="2" t="s">
        <v>33</v>
      </c>
      <c r="H282" s="6" t="str">
        <f aca="false">A282&amp;"_"&amp;B282</f>
        <v>chauas_4</v>
      </c>
      <c r="I282" s="6" t="str">
        <f aca="false">H282&amp;"_"&amp;C282&amp;"_"&amp;G282</f>
        <v>chauas_4_173_Myrcia sulfiflora</v>
      </c>
      <c r="J282" s="6" t="n">
        <f aca="false">IF(COUNTIF($I$2:I282,I282)=1,1,0)</f>
        <v>0</v>
      </c>
      <c r="K282" s="6" t="n">
        <f aca="false">E282*$Q$2</f>
        <v>23</v>
      </c>
      <c r="L282" s="7" t="n">
        <f aca="false">K282/PI()</f>
        <v>7.32112738222719</v>
      </c>
      <c r="M282" s="8" t="n">
        <f aca="false">PI()*L282^2/40000</f>
        <v>0.00420964824478063</v>
      </c>
      <c r="N282" s="7" t="n">
        <f aca="false">F282*$Q$3</f>
        <v>10</v>
      </c>
      <c r="O282" s="3"/>
      <c r="P282" s="3"/>
      <c r="Q282" s="3"/>
    </row>
    <row r="283" customFormat="false" ht="15" hidden="false" customHeight="false" outlineLevel="0" collapsed="false">
      <c r="A283" s="2" t="s">
        <v>32</v>
      </c>
      <c r="B283" s="2" t="n">
        <v>4</v>
      </c>
      <c r="C283" s="2" t="n">
        <v>174</v>
      </c>
      <c r="D283" s="2" t="n">
        <v>1</v>
      </c>
      <c r="E283" s="2" t="n">
        <v>200</v>
      </c>
      <c r="F283" s="2" t="n">
        <v>90</v>
      </c>
      <c r="G283" s="2" t="s">
        <v>33</v>
      </c>
      <c r="H283" s="6" t="str">
        <f aca="false">A283&amp;"_"&amp;B283</f>
        <v>chauas_4</v>
      </c>
      <c r="I283" s="6" t="str">
        <f aca="false">H283&amp;"_"&amp;C283&amp;"_"&amp;G283</f>
        <v>chauas_4_174_Myrcia sulfiflora</v>
      </c>
      <c r="J283" s="6" t="n">
        <f aca="false">IF(COUNTIF($I$2:I283,I283)=1,1,0)</f>
        <v>1</v>
      </c>
      <c r="K283" s="6" t="n">
        <f aca="false">E283*$Q$2</f>
        <v>20</v>
      </c>
      <c r="L283" s="7" t="n">
        <f aca="false">K283/PI()</f>
        <v>6.36619772367581</v>
      </c>
      <c r="M283" s="8" t="n">
        <f aca="false">PI()*L283^2/40000</f>
        <v>0.00318309886183791</v>
      </c>
      <c r="N283" s="7" t="n">
        <f aca="false">F283*$Q$3</f>
        <v>9</v>
      </c>
      <c r="O283" s="3"/>
      <c r="P283" s="3"/>
      <c r="Q283" s="3"/>
    </row>
    <row r="284" customFormat="false" ht="15" hidden="false" customHeight="false" outlineLevel="0" collapsed="false">
      <c r="A284" s="2" t="s">
        <v>32</v>
      </c>
      <c r="B284" s="2" t="n">
        <v>4</v>
      </c>
      <c r="C284" s="2" t="n">
        <v>175</v>
      </c>
      <c r="D284" s="2" t="n">
        <v>1</v>
      </c>
      <c r="E284" s="2" t="n">
        <v>210</v>
      </c>
      <c r="F284" s="2" t="n">
        <v>100</v>
      </c>
      <c r="G284" s="2" t="s">
        <v>37</v>
      </c>
      <c r="H284" s="6" t="str">
        <f aca="false">A284&amp;"_"&amp;B284</f>
        <v>chauas_4</v>
      </c>
      <c r="I284" s="6" t="str">
        <f aca="false">H284&amp;"_"&amp;C284&amp;"_"&amp;G284</f>
        <v>chauas_4_175_Tabebuia cassinoides</v>
      </c>
      <c r="J284" s="6" t="n">
        <f aca="false">IF(COUNTIF($I$2:I284,I284)=1,1,0)</f>
        <v>1</v>
      </c>
      <c r="K284" s="6" t="n">
        <f aca="false">E284*$Q$2</f>
        <v>21</v>
      </c>
      <c r="L284" s="7" t="n">
        <f aca="false">K284/PI()</f>
        <v>6.68450760985961</v>
      </c>
      <c r="M284" s="8" t="n">
        <f aca="false">PI()*L284^2/40000</f>
        <v>0.00350936649517629</v>
      </c>
      <c r="N284" s="7" t="n">
        <f aca="false">F284*$Q$3</f>
        <v>10</v>
      </c>
      <c r="O284" s="3"/>
      <c r="P284" s="3"/>
      <c r="Q284" s="3"/>
    </row>
    <row r="285" customFormat="false" ht="15" hidden="false" customHeight="false" outlineLevel="0" collapsed="false">
      <c r="A285" s="2" t="s">
        <v>32</v>
      </c>
      <c r="B285" s="2" t="n">
        <v>4</v>
      </c>
      <c r="C285" s="2" t="n">
        <v>176</v>
      </c>
      <c r="D285" s="2" t="n">
        <v>1</v>
      </c>
      <c r="E285" s="2" t="n">
        <v>150</v>
      </c>
      <c r="F285" s="2" t="n">
        <v>90</v>
      </c>
      <c r="G285" s="2" t="s">
        <v>33</v>
      </c>
      <c r="H285" s="6" t="str">
        <f aca="false">A285&amp;"_"&amp;B285</f>
        <v>chauas_4</v>
      </c>
      <c r="I285" s="6" t="str">
        <f aca="false">H285&amp;"_"&amp;C285&amp;"_"&amp;G285</f>
        <v>chauas_4_176_Myrcia sulfiflora</v>
      </c>
      <c r="J285" s="6" t="n">
        <f aca="false">IF(COUNTIF($I$2:I285,I285)=1,1,0)</f>
        <v>1</v>
      </c>
      <c r="K285" s="6" t="n">
        <f aca="false">E285*$Q$2</f>
        <v>15</v>
      </c>
      <c r="L285" s="7" t="n">
        <f aca="false">K285/PI()</f>
        <v>4.77464829275686</v>
      </c>
      <c r="M285" s="8" t="n">
        <f aca="false">PI()*L285^2/40000</f>
        <v>0.00179049310978382</v>
      </c>
      <c r="N285" s="7" t="n">
        <f aca="false">F285*$Q$3</f>
        <v>9</v>
      </c>
      <c r="O285" s="3"/>
      <c r="P285" s="3"/>
      <c r="Q285" s="3"/>
    </row>
    <row r="286" customFormat="false" ht="15" hidden="false" customHeight="false" outlineLevel="0" collapsed="false">
      <c r="A286" s="2" t="s">
        <v>32</v>
      </c>
      <c r="B286" s="2" t="n">
        <v>4</v>
      </c>
      <c r="C286" s="2" t="n">
        <v>177</v>
      </c>
      <c r="D286" s="2" t="n">
        <v>1</v>
      </c>
      <c r="E286" s="2" t="n">
        <v>160</v>
      </c>
      <c r="F286" s="2" t="n">
        <v>80</v>
      </c>
      <c r="G286" s="2" t="s">
        <v>37</v>
      </c>
      <c r="H286" s="6" t="str">
        <f aca="false">A286&amp;"_"&amp;B286</f>
        <v>chauas_4</v>
      </c>
      <c r="I286" s="6" t="str">
        <f aca="false">H286&amp;"_"&amp;C286&amp;"_"&amp;G286</f>
        <v>chauas_4_177_Tabebuia cassinoides</v>
      </c>
      <c r="J286" s="6" t="n">
        <f aca="false">IF(COUNTIF($I$2:I286,I286)=1,1,0)</f>
        <v>1</v>
      </c>
      <c r="K286" s="6" t="n">
        <f aca="false">E286*$Q$2</f>
        <v>16</v>
      </c>
      <c r="L286" s="7" t="n">
        <f aca="false">K286/PI()</f>
        <v>5.09295817894065</v>
      </c>
      <c r="M286" s="8" t="n">
        <f aca="false">PI()*L286^2/40000</f>
        <v>0.00203718327157626</v>
      </c>
      <c r="N286" s="7" t="n">
        <f aca="false">F286*$Q$3</f>
        <v>8</v>
      </c>
      <c r="O286" s="3"/>
      <c r="P286" s="3"/>
      <c r="Q286" s="3"/>
    </row>
    <row r="287" customFormat="false" ht="15" hidden="false" customHeight="false" outlineLevel="0" collapsed="false">
      <c r="A287" s="2" t="s">
        <v>32</v>
      </c>
      <c r="B287" s="2" t="n">
        <v>4</v>
      </c>
      <c r="C287" s="2" t="n">
        <v>177</v>
      </c>
      <c r="D287" s="2" t="n">
        <v>2</v>
      </c>
      <c r="E287" s="2" t="n">
        <v>170</v>
      </c>
      <c r="F287" s="2" t="n">
        <v>80</v>
      </c>
      <c r="G287" s="2" t="s">
        <v>37</v>
      </c>
      <c r="H287" s="6" t="str">
        <f aca="false">A287&amp;"_"&amp;B287</f>
        <v>chauas_4</v>
      </c>
      <c r="I287" s="6" t="str">
        <f aca="false">H287&amp;"_"&amp;C287&amp;"_"&amp;G287</f>
        <v>chauas_4_177_Tabebuia cassinoides</v>
      </c>
      <c r="J287" s="6" t="n">
        <f aca="false">IF(COUNTIF($I$2:I287,I287)=1,1,0)</f>
        <v>0</v>
      </c>
      <c r="K287" s="6" t="n">
        <f aca="false">E287*$Q$2</f>
        <v>17</v>
      </c>
      <c r="L287" s="7" t="n">
        <f aca="false">K287/PI()</f>
        <v>5.41126806512444</v>
      </c>
      <c r="M287" s="8" t="n">
        <f aca="false">PI()*L287^2/40000</f>
        <v>0.00229978892767789</v>
      </c>
      <c r="N287" s="7" t="n">
        <f aca="false">F287*$Q$3</f>
        <v>8</v>
      </c>
      <c r="O287" s="3"/>
      <c r="P287" s="3"/>
      <c r="Q287" s="3"/>
    </row>
    <row r="288" customFormat="false" ht="15" hidden="false" customHeight="false" outlineLevel="0" collapsed="false">
      <c r="A288" s="2" t="s">
        <v>32</v>
      </c>
      <c r="B288" s="2" t="n">
        <v>4</v>
      </c>
      <c r="C288" s="2" t="n">
        <v>177</v>
      </c>
      <c r="D288" s="2" t="n">
        <v>3</v>
      </c>
      <c r="E288" s="2" t="n">
        <v>180</v>
      </c>
      <c r="F288" s="2" t="n">
        <v>80</v>
      </c>
      <c r="G288" s="2" t="s">
        <v>37</v>
      </c>
      <c r="H288" s="6" t="str">
        <f aca="false">A288&amp;"_"&amp;B288</f>
        <v>chauas_4</v>
      </c>
      <c r="I288" s="6" t="str">
        <f aca="false">H288&amp;"_"&amp;C288&amp;"_"&amp;G288</f>
        <v>chauas_4_177_Tabebuia cassinoides</v>
      </c>
      <c r="J288" s="6" t="n">
        <f aca="false">IF(COUNTIF($I$2:I288,I288)=1,1,0)</f>
        <v>0</v>
      </c>
      <c r="K288" s="6" t="n">
        <f aca="false">E288*$Q$2</f>
        <v>18</v>
      </c>
      <c r="L288" s="7" t="n">
        <f aca="false">K288/PI()</f>
        <v>5.72957795130823</v>
      </c>
      <c r="M288" s="8" t="n">
        <f aca="false">PI()*L288^2/40000</f>
        <v>0.0025783100780887</v>
      </c>
      <c r="N288" s="7" t="n">
        <f aca="false">F288*$Q$3</f>
        <v>8</v>
      </c>
      <c r="O288" s="3"/>
      <c r="P288" s="3"/>
      <c r="Q288" s="3"/>
    </row>
    <row r="289" customFormat="false" ht="15" hidden="false" customHeight="false" outlineLevel="0" collapsed="false">
      <c r="A289" s="2" t="s">
        <v>32</v>
      </c>
      <c r="B289" s="2" t="n">
        <v>4</v>
      </c>
      <c r="C289" s="2" t="n">
        <v>178</v>
      </c>
      <c r="D289" s="2" t="n">
        <v>1</v>
      </c>
      <c r="E289" s="2" t="n">
        <v>300</v>
      </c>
      <c r="F289" s="2" t="n">
        <v>60</v>
      </c>
      <c r="G289" s="2" t="s">
        <v>33</v>
      </c>
      <c r="H289" s="6" t="str">
        <f aca="false">A289&amp;"_"&amp;B289</f>
        <v>chauas_4</v>
      </c>
      <c r="I289" s="6" t="str">
        <f aca="false">H289&amp;"_"&amp;C289&amp;"_"&amp;G289</f>
        <v>chauas_4_178_Myrcia sulfiflora</v>
      </c>
      <c r="J289" s="6" t="n">
        <f aca="false">IF(COUNTIF($I$2:I289,I289)=1,1,0)</f>
        <v>1</v>
      </c>
      <c r="K289" s="6" t="n">
        <f aca="false">E289*$Q$2</f>
        <v>30</v>
      </c>
      <c r="L289" s="7" t="n">
        <f aca="false">K289/PI()</f>
        <v>9.54929658551372</v>
      </c>
      <c r="M289" s="8" t="n">
        <f aca="false">PI()*L289^2/40000</f>
        <v>0.00716197243913529</v>
      </c>
      <c r="N289" s="7" t="n">
        <f aca="false">F289*$Q$3</f>
        <v>6</v>
      </c>
      <c r="O289" s="3"/>
      <c r="P289" s="3"/>
      <c r="Q289" s="3"/>
    </row>
    <row r="290" customFormat="false" ht="15" hidden="false" customHeight="false" outlineLevel="0" collapsed="false">
      <c r="A290" s="2" t="s">
        <v>32</v>
      </c>
      <c r="B290" s="2" t="n">
        <v>4</v>
      </c>
      <c r="C290" s="2" t="n">
        <v>179</v>
      </c>
      <c r="D290" s="2" t="n">
        <v>1</v>
      </c>
      <c r="E290" s="2" t="n">
        <v>190</v>
      </c>
      <c r="F290" s="2" t="n">
        <v>90</v>
      </c>
      <c r="G290" s="2" t="s">
        <v>33</v>
      </c>
      <c r="H290" s="6" t="str">
        <f aca="false">A290&amp;"_"&amp;B290</f>
        <v>chauas_4</v>
      </c>
      <c r="I290" s="6" t="str">
        <f aca="false">H290&amp;"_"&amp;C290&amp;"_"&amp;G290</f>
        <v>chauas_4_179_Myrcia sulfiflora</v>
      </c>
      <c r="J290" s="6" t="n">
        <f aca="false">IF(COUNTIF($I$2:I290,I290)=1,1,0)</f>
        <v>1</v>
      </c>
      <c r="K290" s="6" t="n">
        <f aca="false">E290*$Q$2</f>
        <v>19</v>
      </c>
      <c r="L290" s="7" t="n">
        <f aca="false">K290/PI()</f>
        <v>6.04788783749202</v>
      </c>
      <c r="M290" s="8" t="n">
        <f aca="false">PI()*L290^2/40000</f>
        <v>0.00287274672280871</v>
      </c>
      <c r="N290" s="7" t="n">
        <f aca="false">F290*$Q$3</f>
        <v>9</v>
      </c>
      <c r="O290" s="3"/>
      <c r="P290" s="3"/>
      <c r="Q290" s="3"/>
    </row>
    <row r="291" customFormat="false" ht="15" hidden="false" customHeight="false" outlineLevel="0" collapsed="false">
      <c r="A291" s="2" t="s">
        <v>32</v>
      </c>
      <c r="B291" s="2" t="n">
        <v>4</v>
      </c>
      <c r="C291" s="2" t="n">
        <v>180</v>
      </c>
      <c r="D291" s="2" t="n">
        <v>1</v>
      </c>
      <c r="E291" s="2" t="n">
        <v>190</v>
      </c>
      <c r="F291" s="2" t="n">
        <v>80</v>
      </c>
      <c r="G291" s="2" t="s">
        <v>37</v>
      </c>
      <c r="H291" s="6" t="str">
        <f aca="false">A291&amp;"_"&amp;B291</f>
        <v>chauas_4</v>
      </c>
      <c r="I291" s="6" t="str">
        <f aca="false">H291&amp;"_"&amp;C291&amp;"_"&amp;G291</f>
        <v>chauas_4_180_Tabebuia cassinoides</v>
      </c>
      <c r="J291" s="6" t="n">
        <f aca="false">IF(COUNTIF($I$2:I291,I291)=1,1,0)</f>
        <v>1</v>
      </c>
      <c r="K291" s="6" t="n">
        <f aca="false">E291*$Q$2</f>
        <v>19</v>
      </c>
      <c r="L291" s="7" t="n">
        <f aca="false">K291/PI()</f>
        <v>6.04788783749202</v>
      </c>
      <c r="M291" s="8" t="n">
        <f aca="false">PI()*L291^2/40000</f>
        <v>0.00287274672280871</v>
      </c>
      <c r="N291" s="7" t="n">
        <f aca="false">F291*$Q$3</f>
        <v>8</v>
      </c>
      <c r="O291" s="3"/>
      <c r="P291" s="3"/>
      <c r="Q291" s="3"/>
    </row>
    <row r="292" customFormat="false" ht="15" hidden="false" customHeight="false" outlineLevel="0" collapsed="false">
      <c r="A292" s="2" t="s">
        <v>32</v>
      </c>
      <c r="B292" s="2" t="n">
        <v>4</v>
      </c>
      <c r="C292" s="2" t="n">
        <v>180</v>
      </c>
      <c r="D292" s="2" t="n">
        <v>2</v>
      </c>
      <c r="E292" s="2" t="n">
        <v>150</v>
      </c>
      <c r="F292" s="2" t="n">
        <v>80</v>
      </c>
      <c r="G292" s="2" t="s">
        <v>37</v>
      </c>
      <c r="H292" s="6" t="str">
        <f aca="false">A292&amp;"_"&amp;B292</f>
        <v>chauas_4</v>
      </c>
      <c r="I292" s="6" t="str">
        <f aca="false">H292&amp;"_"&amp;C292&amp;"_"&amp;G292</f>
        <v>chauas_4_180_Tabebuia cassinoides</v>
      </c>
      <c r="J292" s="6" t="n">
        <f aca="false">IF(COUNTIF($I$2:I292,I292)=1,1,0)</f>
        <v>0</v>
      </c>
      <c r="K292" s="6" t="n">
        <f aca="false">E292*$Q$2</f>
        <v>15</v>
      </c>
      <c r="L292" s="7" t="n">
        <f aca="false">K292/PI()</f>
        <v>4.77464829275686</v>
      </c>
      <c r="M292" s="8" t="n">
        <f aca="false">PI()*L292^2/40000</f>
        <v>0.00179049310978382</v>
      </c>
      <c r="N292" s="7" t="n">
        <f aca="false">F292*$Q$3</f>
        <v>8</v>
      </c>
      <c r="O292" s="3"/>
      <c r="P292" s="3"/>
      <c r="Q292" s="3"/>
    </row>
    <row r="293" customFormat="false" ht="15" hidden="false" customHeight="false" outlineLevel="0" collapsed="false">
      <c r="A293" s="2" t="s">
        <v>32</v>
      </c>
      <c r="B293" s="2" t="n">
        <v>4</v>
      </c>
      <c r="C293" s="2" t="n">
        <v>181</v>
      </c>
      <c r="D293" s="2" t="n">
        <v>1</v>
      </c>
      <c r="E293" s="2" t="n">
        <v>180</v>
      </c>
      <c r="F293" s="2" t="n">
        <v>70</v>
      </c>
      <c r="G293" s="2" t="s">
        <v>37</v>
      </c>
      <c r="H293" s="6" t="str">
        <f aca="false">A293&amp;"_"&amp;B293</f>
        <v>chauas_4</v>
      </c>
      <c r="I293" s="6" t="str">
        <f aca="false">H293&amp;"_"&amp;C293&amp;"_"&amp;G293</f>
        <v>chauas_4_181_Tabebuia cassinoides</v>
      </c>
      <c r="J293" s="6" t="n">
        <f aca="false">IF(COUNTIF($I$2:I293,I293)=1,1,0)</f>
        <v>1</v>
      </c>
      <c r="K293" s="6" t="n">
        <f aca="false">E293*$Q$2</f>
        <v>18</v>
      </c>
      <c r="L293" s="7" t="n">
        <f aca="false">K293/PI()</f>
        <v>5.72957795130823</v>
      </c>
      <c r="M293" s="8" t="n">
        <f aca="false">PI()*L293^2/40000</f>
        <v>0.0025783100780887</v>
      </c>
      <c r="N293" s="7" t="n">
        <f aca="false">F293*$Q$3</f>
        <v>7</v>
      </c>
      <c r="O293" s="3"/>
      <c r="P293" s="3"/>
      <c r="Q293" s="3"/>
    </row>
    <row r="294" customFormat="false" ht="15" hidden="false" customHeight="false" outlineLevel="0" collapsed="false">
      <c r="A294" s="2" t="s">
        <v>32</v>
      </c>
      <c r="B294" s="2" t="n">
        <v>4</v>
      </c>
      <c r="C294" s="2" t="n">
        <v>182</v>
      </c>
      <c r="D294" s="2" t="n">
        <v>1</v>
      </c>
      <c r="E294" s="2" t="n">
        <v>350</v>
      </c>
      <c r="F294" s="2" t="n">
        <v>170</v>
      </c>
      <c r="G294" s="2" t="s">
        <v>33</v>
      </c>
      <c r="H294" s="6" t="str">
        <f aca="false">A294&amp;"_"&amp;B294</f>
        <v>chauas_4</v>
      </c>
      <c r="I294" s="6" t="str">
        <f aca="false">H294&amp;"_"&amp;C294&amp;"_"&amp;G294</f>
        <v>chauas_4_182_Myrcia sulfiflora</v>
      </c>
      <c r="J294" s="6" t="n">
        <f aca="false">IF(COUNTIF($I$2:I294,I294)=1,1,0)</f>
        <v>1</v>
      </c>
      <c r="K294" s="6" t="n">
        <f aca="false">E294*$Q$2</f>
        <v>35</v>
      </c>
      <c r="L294" s="7" t="n">
        <f aca="false">K294/PI()</f>
        <v>11.1408460164327</v>
      </c>
      <c r="M294" s="8" t="n">
        <f aca="false">PI()*L294^2/40000</f>
        <v>0.00974824026437859</v>
      </c>
      <c r="N294" s="7" t="n">
        <f aca="false">F294*$Q$3</f>
        <v>17</v>
      </c>
      <c r="O294" s="3"/>
      <c r="P294" s="3"/>
      <c r="Q294" s="3"/>
    </row>
    <row r="295" customFormat="false" ht="15" hidden="false" customHeight="false" outlineLevel="0" collapsed="false">
      <c r="A295" s="2" t="s">
        <v>32</v>
      </c>
      <c r="B295" s="2" t="n">
        <v>4</v>
      </c>
      <c r="C295" s="2" t="n">
        <v>182</v>
      </c>
      <c r="D295" s="2" t="n">
        <v>1</v>
      </c>
      <c r="E295" s="2" t="n">
        <v>330</v>
      </c>
      <c r="F295" s="2" t="n">
        <v>170</v>
      </c>
      <c r="G295" s="2" t="s">
        <v>33</v>
      </c>
      <c r="H295" s="6" t="str">
        <f aca="false">A295&amp;"_"&amp;B295</f>
        <v>chauas_4</v>
      </c>
      <c r="I295" s="6" t="str">
        <f aca="false">H295&amp;"_"&amp;C295&amp;"_"&amp;G295</f>
        <v>chauas_4_182_Myrcia sulfiflora</v>
      </c>
      <c r="J295" s="6" t="n">
        <f aca="false">IF(COUNTIF($I$2:I295,I295)=1,1,0)</f>
        <v>0</v>
      </c>
      <c r="K295" s="6" t="n">
        <f aca="false">E295*$Q$2</f>
        <v>33</v>
      </c>
      <c r="L295" s="7" t="n">
        <f aca="false">K295/PI()</f>
        <v>10.5042262440651</v>
      </c>
      <c r="M295" s="8" t="n">
        <f aca="false">PI()*L295^2/40000</f>
        <v>0.0086659866513537</v>
      </c>
      <c r="N295" s="7" t="n">
        <f aca="false">F295*$Q$3</f>
        <v>17</v>
      </c>
      <c r="O295" s="3"/>
      <c r="P295" s="3"/>
      <c r="Q295" s="3"/>
    </row>
    <row r="296" customFormat="false" ht="15" hidden="false" customHeight="false" outlineLevel="0" collapsed="false">
      <c r="A296" s="2" t="s">
        <v>32</v>
      </c>
      <c r="B296" s="2" t="n">
        <v>4</v>
      </c>
      <c r="C296" s="2" t="n">
        <v>183</v>
      </c>
      <c r="D296" s="2" t="n">
        <v>1</v>
      </c>
      <c r="E296" s="2" t="n">
        <v>160</v>
      </c>
      <c r="F296" s="2" t="n">
        <v>60</v>
      </c>
      <c r="G296" s="2" t="s">
        <v>37</v>
      </c>
      <c r="H296" s="6" t="str">
        <f aca="false">A296&amp;"_"&amp;B296</f>
        <v>chauas_4</v>
      </c>
      <c r="I296" s="6" t="str">
        <f aca="false">H296&amp;"_"&amp;C296&amp;"_"&amp;G296</f>
        <v>chauas_4_183_Tabebuia cassinoides</v>
      </c>
      <c r="J296" s="6" t="n">
        <f aca="false">IF(COUNTIF($I$2:I296,I296)=1,1,0)</f>
        <v>1</v>
      </c>
      <c r="K296" s="6" t="n">
        <f aca="false">E296*$Q$2</f>
        <v>16</v>
      </c>
      <c r="L296" s="7" t="n">
        <f aca="false">K296/PI()</f>
        <v>5.09295817894065</v>
      </c>
      <c r="M296" s="8" t="n">
        <f aca="false">PI()*L296^2/40000</f>
        <v>0.00203718327157626</v>
      </c>
      <c r="N296" s="7" t="n">
        <f aca="false">F296*$Q$3</f>
        <v>6</v>
      </c>
      <c r="O296" s="3"/>
      <c r="P296" s="3"/>
      <c r="Q296" s="3"/>
    </row>
    <row r="297" customFormat="false" ht="15" hidden="false" customHeight="false" outlineLevel="0" collapsed="false">
      <c r="A297" s="2" t="s">
        <v>32</v>
      </c>
      <c r="B297" s="2" t="n">
        <v>4</v>
      </c>
      <c r="C297" s="2" t="n">
        <v>184</v>
      </c>
      <c r="D297" s="2" t="n">
        <v>1</v>
      </c>
      <c r="E297" s="2" t="n">
        <v>240</v>
      </c>
      <c r="F297" s="2" t="n">
        <v>80</v>
      </c>
      <c r="G297" s="2" t="s">
        <v>33</v>
      </c>
      <c r="H297" s="6" t="str">
        <f aca="false">A297&amp;"_"&amp;B297</f>
        <v>chauas_4</v>
      </c>
      <c r="I297" s="6" t="str">
        <f aca="false">H297&amp;"_"&amp;C297&amp;"_"&amp;G297</f>
        <v>chauas_4_184_Myrcia sulfiflora</v>
      </c>
      <c r="J297" s="6" t="n">
        <f aca="false">IF(COUNTIF($I$2:I297,I297)=1,1,0)</f>
        <v>1</v>
      </c>
      <c r="K297" s="6" t="n">
        <f aca="false">E297*$Q$2</f>
        <v>24</v>
      </c>
      <c r="L297" s="7" t="n">
        <f aca="false">K297/PI()</f>
        <v>7.63943726841098</v>
      </c>
      <c r="M297" s="8" t="n">
        <f aca="false">PI()*L297^2/40000</f>
        <v>0.00458366236104659</v>
      </c>
      <c r="N297" s="7" t="n">
        <f aca="false">F297*$Q$3</f>
        <v>8</v>
      </c>
      <c r="O297" s="3"/>
      <c r="P297" s="3"/>
      <c r="Q297" s="3"/>
    </row>
    <row r="298" customFormat="false" ht="15" hidden="false" customHeight="false" outlineLevel="0" collapsed="false">
      <c r="A298" s="2" t="s">
        <v>32</v>
      </c>
      <c r="B298" s="2" t="n">
        <v>4</v>
      </c>
      <c r="C298" s="2" t="n">
        <v>185</v>
      </c>
      <c r="D298" s="2" t="n">
        <v>1</v>
      </c>
      <c r="E298" s="2" t="n">
        <v>280</v>
      </c>
      <c r="F298" s="2" t="n">
        <v>140</v>
      </c>
      <c r="G298" s="2" t="s">
        <v>33</v>
      </c>
      <c r="H298" s="6" t="str">
        <f aca="false">A298&amp;"_"&amp;B298</f>
        <v>chauas_4</v>
      </c>
      <c r="I298" s="6" t="str">
        <f aca="false">H298&amp;"_"&amp;C298&amp;"_"&amp;G298</f>
        <v>chauas_4_185_Myrcia sulfiflora</v>
      </c>
      <c r="J298" s="6" t="n">
        <f aca="false">IF(COUNTIF($I$2:I298,I298)=1,1,0)</f>
        <v>1</v>
      </c>
      <c r="K298" s="6" t="n">
        <f aca="false">E298*$Q$2</f>
        <v>28</v>
      </c>
      <c r="L298" s="7" t="n">
        <f aca="false">K298/PI()</f>
        <v>8.91267681314614</v>
      </c>
      <c r="M298" s="8" t="n">
        <f aca="false">PI()*L298^2/40000</f>
        <v>0.0062388737692023</v>
      </c>
      <c r="N298" s="7" t="n">
        <f aca="false">F298*$Q$3</f>
        <v>14</v>
      </c>
      <c r="O298" s="3"/>
      <c r="P298" s="3"/>
      <c r="Q298" s="3"/>
    </row>
    <row r="299" customFormat="false" ht="15" hidden="false" customHeight="false" outlineLevel="0" collapsed="false">
      <c r="A299" s="2" t="s">
        <v>32</v>
      </c>
      <c r="B299" s="2" t="n">
        <v>4</v>
      </c>
      <c r="C299" s="2" t="n">
        <v>186</v>
      </c>
      <c r="D299" s="2" t="n">
        <v>1</v>
      </c>
      <c r="E299" s="2" t="n">
        <v>930</v>
      </c>
      <c r="F299" s="2" t="n">
        <v>200</v>
      </c>
      <c r="G299" s="2" t="s">
        <v>48</v>
      </c>
      <c r="H299" s="6" t="str">
        <f aca="false">A299&amp;"_"&amp;B299</f>
        <v>chauas_4</v>
      </c>
      <c r="I299" s="6" t="str">
        <f aca="false">H299&amp;"_"&amp;C299&amp;"_"&amp;G299</f>
        <v>chauas_4_186_Calophyllum brasiliensis</v>
      </c>
      <c r="J299" s="6" t="n">
        <f aca="false">IF(COUNTIF($I$2:I299,I299)=1,1,0)</f>
        <v>1</v>
      </c>
      <c r="K299" s="6" t="n">
        <f aca="false">E299*$Q$2</f>
        <v>93</v>
      </c>
      <c r="L299" s="7" t="n">
        <f aca="false">K299/PI()</f>
        <v>29.6028194150925</v>
      </c>
      <c r="M299" s="8" t="n">
        <f aca="false">PI()*L299^2/40000</f>
        <v>0.0688265551400901</v>
      </c>
      <c r="N299" s="7" t="n">
        <f aca="false">F299*$Q$3</f>
        <v>20</v>
      </c>
      <c r="O299" s="3"/>
      <c r="P299" s="3"/>
      <c r="Q299" s="3"/>
    </row>
    <row r="300" customFormat="false" ht="15" hidden="false" customHeight="false" outlineLevel="0" collapsed="false">
      <c r="A300" s="2" t="s">
        <v>32</v>
      </c>
      <c r="B300" s="2" t="n">
        <v>4</v>
      </c>
      <c r="C300" s="2" t="n">
        <v>187</v>
      </c>
      <c r="D300" s="2" t="n">
        <v>1</v>
      </c>
      <c r="E300" s="2" t="n">
        <v>190</v>
      </c>
      <c r="F300" s="2" t="n">
        <v>120</v>
      </c>
      <c r="G300" s="2" t="s">
        <v>33</v>
      </c>
      <c r="H300" s="6" t="str">
        <f aca="false">A300&amp;"_"&amp;B300</f>
        <v>chauas_4</v>
      </c>
      <c r="I300" s="6" t="str">
        <f aca="false">H300&amp;"_"&amp;C300&amp;"_"&amp;G300</f>
        <v>chauas_4_187_Myrcia sulfiflora</v>
      </c>
      <c r="J300" s="6" t="n">
        <f aca="false">IF(COUNTIF($I$2:I300,I300)=1,1,0)</f>
        <v>1</v>
      </c>
      <c r="K300" s="6" t="n">
        <f aca="false">E300*$Q$2</f>
        <v>19</v>
      </c>
      <c r="L300" s="7" t="n">
        <f aca="false">K300/PI()</f>
        <v>6.04788783749202</v>
      </c>
      <c r="M300" s="8" t="n">
        <f aca="false">PI()*L300^2/40000</f>
        <v>0.00287274672280871</v>
      </c>
      <c r="N300" s="7" t="n">
        <f aca="false">F300*$Q$3</f>
        <v>12</v>
      </c>
      <c r="O300" s="3"/>
      <c r="P300" s="3"/>
      <c r="Q300" s="3"/>
    </row>
    <row r="301" customFormat="false" ht="15" hidden="false" customHeight="false" outlineLevel="0" collapsed="false">
      <c r="A301" s="2" t="s">
        <v>32</v>
      </c>
      <c r="B301" s="2" t="n">
        <v>4</v>
      </c>
      <c r="C301" s="2" t="n">
        <v>188</v>
      </c>
      <c r="D301" s="2" t="n">
        <v>1</v>
      </c>
      <c r="E301" s="2" t="n">
        <v>270</v>
      </c>
      <c r="F301" s="2" t="n">
        <v>120</v>
      </c>
      <c r="G301" s="2" t="s">
        <v>33</v>
      </c>
      <c r="H301" s="6" t="str">
        <f aca="false">A301&amp;"_"&amp;B301</f>
        <v>chauas_4</v>
      </c>
      <c r="I301" s="6" t="str">
        <f aca="false">H301&amp;"_"&amp;C301&amp;"_"&amp;G301</f>
        <v>chauas_4_188_Myrcia sulfiflora</v>
      </c>
      <c r="J301" s="6" t="n">
        <f aca="false">IF(COUNTIF($I$2:I301,I301)=1,1,0)</f>
        <v>1</v>
      </c>
      <c r="K301" s="6" t="n">
        <f aca="false">E301*$Q$2</f>
        <v>27</v>
      </c>
      <c r="L301" s="7" t="n">
        <f aca="false">K301/PI()</f>
        <v>8.59436692696235</v>
      </c>
      <c r="M301" s="8" t="n">
        <f aca="false">PI()*L301^2/40000</f>
        <v>0.00580119767569958</v>
      </c>
      <c r="N301" s="7" t="n">
        <f aca="false">F301*$Q$3</f>
        <v>12</v>
      </c>
      <c r="O301" s="3"/>
      <c r="P301" s="3"/>
      <c r="Q301" s="3"/>
    </row>
    <row r="302" customFormat="false" ht="15" hidden="false" customHeight="false" outlineLevel="0" collapsed="false">
      <c r="A302" s="2" t="s">
        <v>32</v>
      </c>
      <c r="B302" s="2" t="n">
        <v>4</v>
      </c>
      <c r="C302" s="2" t="n">
        <v>189</v>
      </c>
      <c r="D302" s="2" t="n">
        <v>1</v>
      </c>
      <c r="E302" s="2" t="n">
        <v>240</v>
      </c>
      <c r="F302" s="2" t="n">
        <v>60</v>
      </c>
      <c r="G302" s="2" t="s">
        <v>37</v>
      </c>
      <c r="H302" s="6" t="str">
        <f aca="false">A302&amp;"_"&amp;B302</f>
        <v>chauas_4</v>
      </c>
      <c r="I302" s="6" t="str">
        <f aca="false">H302&amp;"_"&amp;C302&amp;"_"&amp;G302</f>
        <v>chauas_4_189_Tabebuia cassinoides</v>
      </c>
      <c r="J302" s="6" t="n">
        <f aca="false">IF(COUNTIF($I$2:I302,I302)=1,1,0)</f>
        <v>1</v>
      </c>
      <c r="K302" s="6" t="n">
        <f aca="false">E302*$Q$2</f>
        <v>24</v>
      </c>
      <c r="L302" s="7" t="n">
        <f aca="false">K302/PI()</f>
        <v>7.63943726841098</v>
      </c>
      <c r="M302" s="8" t="n">
        <f aca="false">PI()*L302^2/40000</f>
        <v>0.00458366236104659</v>
      </c>
      <c r="N302" s="7" t="n">
        <f aca="false">F302*$Q$3</f>
        <v>6</v>
      </c>
      <c r="O302" s="3"/>
      <c r="P302" s="3"/>
      <c r="Q302" s="3"/>
    </row>
    <row r="303" customFormat="false" ht="15" hidden="false" customHeight="false" outlineLevel="0" collapsed="false">
      <c r="A303" s="2" t="s">
        <v>32</v>
      </c>
      <c r="B303" s="2" t="n">
        <v>4</v>
      </c>
      <c r="C303" s="2" t="n">
        <v>189</v>
      </c>
      <c r="D303" s="2" t="n">
        <v>2</v>
      </c>
      <c r="E303" s="2" t="n">
        <v>240</v>
      </c>
      <c r="F303" s="2" t="n">
        <v>60</v>
      </c>
      <c r="G303" s="2" t="s">
        <v>37</v>
      </c>
      <c r="H303" s="6" t="str">
        <f aca="false">A303&amp;"_"&amp;B303</f>
        <v>chauas_4</v>
      </c>
      <c r="I303" s="6" t="str">
        <f aca="false">H303&amp;"_"&amp;C303&amp;"_"&amp;G303</f>
        <v>chauas_4_189_Tabebuia cassinoides</v>
      </c>
      <c r="J303" s="6" t="n">
        <f aca="false">IF(COUNTIF($I$2:I303,I303)=1,1,0)</f>
        <v>0</v>
      </c>
      <c r="K303" s="6" t="n">
        <f aca="false">E303*$Q$2</f>
        <v>24</v>
      </c>
      <c r="L303" s="7" t="n">
        <f aca="false">K303/PI()</f>
        <v>7.63943726841098</v>
      </c>
      <c r="M303" s="8" t="n">
        <f aca="false">PI()*L303^2/40000</f>
        <v>0.00458366236104659</v>
      </c>
      <c r="N303" s="7" t="n">
        <f aca="false">F303*$Q$3</f>
        <v>6</v>
      </c>
      <c r="O303" s="3"/>
      <c r="P303" s="3"/>
      <c r="Q303" s="3"/>
    </row>
    <row r="304" customFormat="false" ht="15" hidden="false" customHeight="false" outlineLevel="0" collapsed="false">
      <c r="A304" s="2" t="s">
        <v>32</v>
      </c>
      <c r="B304" s="2" t="n">
        <v>4</v>
      </c>
      <c r="C304" s="2" t="n">
        <v>189</v>
      </c>
      <c r="D304" s="2" t="n">
        <v>3</v>
      </c>
      <c r="E304" s="2" t="n">
        <v>150</v>
      </c>
      <c r="F304" s="2" t="n">
        <v>60</v>
      </c>
      <c r="G304" s="2" t="s">
        <v>37</v>
      </c>
      <c r="H304" s="6" t="str">
        <f aca="false">A304&amp;"_"&amp;B304</f>
        <v>chauas_4</v>
      </c>
      <c r="I304" s="6" t="str">
        <f aca="false">H304&amp;"_"&amp;C304&amp;"_"&amp;G304</f>
        <v>chauas_4_189_Tabebuia cassinoides</v>
      </c>
      <c r="J304" s="6" t="n">
        <f aca="false">IF(COUNTIF($I$2:I304,I304)=1,1,0)</f>
        <v>0</v>
      </c>
      <c r="K304" s="6" t="n">
        <f aca="false">E304*$Q$2</f>
        <v>15</v>
      </c>
      <c r="L304" s="7" t="n">
        <f aca="false">K304/PI()</f>
        <v>4.77464829275686</v>
      </c>
      <c r="M304" s="8" t="n">
        <f aca="false">PI()*L304^2/40000</f>
        <v>0.00179049310978382</v>
      </c>
      <c r="N304" s="7" t="n">
        <f aca="false">F304*$Q$3</f>
        <v>6</v>
      </c>
      <c r="O304" s="3"/>
      <c r="P304" s="3"/>
      <c r="Q304" s="3"/>
    </row>
    <row r="305" customFormat="false" ht="15" hidden="false" customHeight="false" outlineLevel="0" collapsed="false">
      <c r="A305" s="2" t="s">
        <v>32</v>
      </c>
      <c r="B305" s="2" t="n">
        <v>4</v>
      </c>
      <c r="C305" s="2" t="n">
        <v>189</v>
      </c>
      <c r="D305" s="2" t="n">
        <v>4</v>
      </c>
      <c r="E305" s="2" t="n">
        <v>160</v>
      </c>
      <c r="F305" s="2" t="n">
        <v>60</v>
      </c>
      <c r="G305" s="2" t="s">
        <v>37</v>
      </c>
      <c r="H305" s="6" t="str">
        <f aca="false">A305&amp;"_"&amp;B305</f>
        <v>chauas_4</v>
      </c>
      <c r="I305" s="6" t="str">
        <f aca="false">H305&amp;"_"&amp;C305&amp;"_"&amp;G305</f>
        <v>chauas_4_189_Tabebuia cassinoides</v>
      </c>
      <c r="J305" s="6" t="n">
        <f aca="false">IF(COUNTIF($I$2:I305,I305)=1,1,0)</f>
        <v>0</v>
      </c>
      <c r="K305" s="6" t="n">
        <f aca="false">E305*$Q$2</f>
        <v>16</v>
      </c>
      <c r="L305" s="7" t="n">
        <f aca="false">K305/PI()</f>
        <v>5.09295817894065</v>
      </c>
      <c r="M305" s="8" t="n">
        <f aca="false">PI()*L305^2/40000</f>
        <v>0.00203718327157626</v>
      </c>
      <c r="N305" s="7" t="n">
        <f aca="false">F305*$Q$3</f>
        <v>6</v>
      </c>
      <c r="O305" s="3"/>
      <c r="P305" s="3"/>
      <c r="Q305" s="3"/>
    </row>
    <row r="306" customFormat="false" ht="15" hidden="false" customHeight="false" outlineLevel="0" collapsed="false">
      <c r="A306" s="2" t="s">
        <v>32</v>
      </c>
      <c r="B306" s="2" t="n">
        <v>4</v>
      </c>
      <c r="C306" s="2" t="n">
        <v>189</v>
      </c>
      <c r="D306" s="2" t="n">
        <v>5</v>
      </c>
      <c r="E306" s="2" t="n">
        <v>380</v>
      </c>
      <c r="F306" s="2" t="n">
        <v>60</v>
      </c>
      <c r="G306" s="2" t="s">
        <v>37</v>
      </c>
      <c r="H306" s="6" t="str">
        <f aca="false">A306&amp;"_"&amp;B306</f>
        <v>chauas_4</v>
      </c>
      <c r="I306" s="6" t="str">
        <f aca="false">H306&amp;"_"&amp;C306&amp;"_"&amp;G306</f>
        <v>chauas_4_189_Tabebuia cassinoides</v>
      </c>
      <c r="J306" s="6" t="n">
        <f aca="false">IF(COUNTIF($I$2:I306,I306)=1,1,0)</f>
        <v>0</v>
      </c>
      <c r="K306" s="6" t="n">
        <f aca="false">E306*$Q$2</f>
        <v>38</v>
      </c>
      <c r="L306" s="7" t="n">
        <f aca="false">K306/PI()</f>
        <v>12.095775674984</v>
      </c>
      <c r="M306" s="8" t="n">
        <f aca="false">PI()*L306^2/40000</f>
        <v>0.0114909868912348</v>
      </c>
      <c r="N306" s="7" t="n">
        <f aca="false">F306*$Q$3</f>
        <v>6</v>
      </c>
      <c r="O306" s="3"/>
      <c r="P306" s="3"/>
      <c r="Q306" s="3"/>
    </row>
    <row r="307" customFormat="false" ht="15" hidden="false" customHeight="false" outlineLevel="0" collapsed="false">
      <c r="A307" s="2" t="s">
        <v>32</v>
      </c>
      <c r="B307" s="2" t="n">
        <v>4</v>
      </c>
      <c r="C307" s="2" t="n">
        <v>190</v>
      </c>
      <c r="D307" s="2" t="n">
        <v>1</v>
      </c>
      <c r="E307" s="2" t="n">
        <v>340</v>
      </c>
      <c r="F307" s="2" t="n">
        <v>90</v>
      </c>
      <c r="G307" s="2" t="s">
        <v>37</v>
      </c>
      <c r="H307" s="6" t="str">
        <f aca="false">A307&amp;"_"&amp;B307</f>
        <v>chauas_4</v>
      </c>
      <c r="I307" s="6" t="str">
        <f aca="false">H307&amp;"_"&amp;C307&amp;"_"&amp;G307</f>
        <v>chauas_4_190_Tabebuia cassinoides</v>
      </c>
      <c r="J307" s="6" t="n">
        <f aca="false">IF(COUNTIF($I$2:I307,I307)=1,1,0)</f>
        <v>1</v>
      </c>
      <c r="K307" s="6" t="n">
        <f aca="false">E307*$Q$2</f>
        <v>34</v>
      </c>
      <c r="L307" s="7" t="n">
        <f aca="false">K307/PI()</f>
        <v>10.8225361302489</v>
      </c>
      <c r="M307" s="8" t="n">
        <f aca="false">PI()*L307^2/40000</f>
        <v>0.00919915571071155</v>
      </c>
      <c r="N307" s="7" t="n">
        <f aca="false">F307*$Q$3</f>
        <v>9</v>
      </c>
      <c r="O307" s="3"/>
      <c r="P307" s="3"/>
      <c r="Q307" s="3"/>
    </row>
    <row r="308" customFormat="false" ht="15" hidden="false" customHeight="false" outlineLevel="0" collapsed="false">
      <c r="A308" s="2" t="s">
        <v>32</v>
      </c>
      <c r="B308" s="2" t="n">
        <v>4</v>
      </c>
      <c r="C308" s="2" t="n">
        <v>191</v>
      </c>
      <c r="D308" s="2" t="n">
        <v>1</v>
      </c>
      <c r="E308" s="2" t="n">
        <v>330</v>
      </c>
      <c r="F308" s="2" t="n">
        <v>70</v>
      </c>
      <c r="G308" s="2" t="s">
        <v>37</v>
      </c>
      <c r="H308" s="6" t="str">
        <f aca="false">A308&amp;"_"&amp;B308</f>
        <v>chauas_4</v>
      </c>
      <c r="I308" s="6" t="str">
        <f aca="false">H308&amp;"_"&amp;C308&amp;"_"&amp;G308</f>
        <v>chauas_4_191_Tabebuia cassinoides</v>
      </c>
      <c r="J308" s="6" t="n">
        <f aca="false">IF(COUNTIF($I$2:I308,I308)=1,1,0)</f>
        <v>1</v>
      </c>
      <c r="K308" s="6" t="n">
        <f aca="false">E308*$Q$2</f>
        <v>33</v>
      </c>
      <c r="L308" s="7" t="n">
        <f aca="false">K308/PI()</f>
        <v>10.5042262440651</v>
      </c>
      <c r="M308" s="8" t="n">
        <f aca="false">PI()*L308^2/40000</f>
        <v>0.0086659866513537</v>
      </c>
      <c r="N308" s="7" t="n">
        <f aca="false">F308*$Q$3</f>
        <v>7</v>
      </c>
      <c r="O308" s="3"/>
      <c r="P308" s="3"/>
      <c r="Q308" s="3"/>
    </row>
    <row r="309" customFormat="false" ht="15" hidden="false" customHeight="false" outlineLevel="0" collapsed="false">
      <c r="A309" s="2" t="s">
        <v>32</v>
      </c>
      <c r="B309" s="2" t="n">
        <v>4</v>
      </c>
      <c r="C309" s="2" t="n">
        <v>192</v>
      </c>
      <c r="D309" s="2" t="n">
        <v>1</v>
      </c>
      <c r="E309" s="2" t="n">
        <v>270</v>
      </c>
      <c r="F309" s="2" t="n">
        <v>150</v>
      </c>
      <c r="G309" s="2" t="s">
        <v>37</v>
      </c>
      <c r="H309" s="6" t="str">
        <f aca="false">A309&amp;"_"&amp;B309</f>
        <v>chauas_4</v>
      </c>
      <c r="I309" s="6" t="str">
        <f aca="false">H309&amp;"_"&amp;C309&amp;"_"&amp;G309</f>
        <v>chauas_4_192_Tabebuia cassinoides</v>
      </c>
      <c r="J309" s="6" t="n">
        <f aca="false">IF(COUNTIF($I$2:I309,I309)=1,1,0)</f>
        <v>1</v>
      </c>
      <c r="K309" s="6" t="n">
        <f aca="false">E309*$Q$2</f>
        <v>27</v>
      </c>
      <c r="L309" s="7" t="n">
        <f aca="false">K309/PI()</f>
        <v>8.59436692696235</v>
      </c>
      <c r="M309" s="8" t="n">
        <f aca="false">PI()*L309^2/40000</f>
        <v>0.00580119767569958</v>
      </c>
      <c r="N309" s="7" t="n">
        <f aca="false">F309*$Q$3</f>
        <v>15</v>
      </c>
      <c r="O309" s="3"/>
      <c r="P309" s="3"/>
      <c r="Q309" s="3"/>
    </row>
    <row r="310" customFormat="false" ht="15" hidden="false" customHeight="false" outlineLevel="0" collapsed="false">
      <c r="A310" s="2" t="s">
        <v>32</v>
      </c>
      <c r="B310" s="2" t="n">
        <v>4</v>
      </c>
      <c r="C310" s="2" t="n">
        <v>192</v>
      </c>
      <c r="D310" s="2" t="n">
        <v>2</v>
      </c>
      <c r="E310" s="2" t="n">
        <v>200</v>
      </c>
      <c r="F310" s="2" t="n">
        <v>150</v>
      </c>
      <c r="G310" s="2" t="s">
        <v>37</v>
      </c>
      <c r="H310" s="6" t="str">
        <f aca="false">A310&amp;"_"&amp;B310</f>
        <v>chauas_4</v>
      </c>
      <c r="I310" s="6" t="str">
        <f aca="false">H310&amp;"_"&amp;C310&amp;"_"&amp;G310</f>
        <v>chauas_4_192_Tabebuia cassinoides</v>
      </c>
      <c r="J310" s="6" t="n">
        <f aca="false">IF(COUNTIF($I$2:I310,I310)=1,1,0)</f>
        <v>0</v>
      </c>
      <c r="K310" s="6" t="n">
        <f aca="false">E310*$Q$2</f>
        <v>20</v>
      </c>
      <c r="L310" s="7" t="n">
        <f aca="false">K310/PI()</f>
        <v>6.36619772367581</v>
      </c>
      <c r="M310" s="8" t="n">
        <f aca="false">PI()*L310^2/40000</f>
        <v>0.00318309886183791</v>
      </c>
      <c r="N310" s="7" t="n">
        <f aca="false">F310*$Q$3</f>
        <v>15</v>
      </c>
      <c r="O310" s="3"/>
      <c r="P310" s="3"/>
      <c r="Q310" s="3"/>
    </row>
    <row r="311" customFormat="false" ht="15" hidden="false" customHeight="false" outlineLevel="0" collapsed="false">
      <c r="A311" s="2" t="s">
        <v>32</v>
      </c>
      <c r="B311" s="2" t="n">
        <v>4</v>
      </c>
      <c r="C311" s="2" t="n">
        <v>193</v>
      </c>
      <c r="D311" s="2" t="n">
        <v>1</v>
      </c>
      <c r="E311" s="2" t="n">
        <v>330</v>
      </c>
      <c r="F311" s="2" t="n">
        <v>70</v>
      </c>
      <c r="G311" s="2" t="s">
        <v>33</v>
      </c>
      <c r="H311" s="6" t="str">
        <f aca="false">A311&amp;"_"&amp;B311</f>
        <v>chauas_4</v>
      </c>
      <c r="I311" s="6" t="str">
        <f aca="false">H311&amp;"_"&amp;C311&amp;"_"&amp;G311</f>
        <v>chauas_4_193_Myrcia sulfiflora</v>
      </c>
      <c r="J311" s="6" t="n">
        <f aca="false">IF(COUNTIF($I$2:I311,I311)=1,1,0)</f>
        <v>1</v>
      </c>
      <c r="K311" s="6" t="n">
        <f aca="false">E311*$Q$2</f>
        <v>33</v>
      </c>
      <c r="L311" s="7" t="n">
        <f aca="false">K311/PI()</f>
        <v>10.5042262440651</v>
      </c>
      <c r="M311" s="8" t="n">
        <f aca="false">PI()*L311^2/40000</f>
        <v>0.0086659866513537</v>
      </c>
      <c r="N311" s="7" t="n">
        <f aca="false">F311*$Q$3</f>
        <v>7</v>
      </c>
      <c r="O311" s="3"/>
      <c r="P311" s="3"/>
      <c r="Q311" s="3"/>
    </row>
    <row r="312" customFormat="false" ht="15" hidden="false" customHeight="false" outlineLevel="0" collapsed="false">
      <c r="A312" s="2" t="s">
        <v>32</v>
      </c>
      <c r="B312" s="2" t="n">
        <v>4</v>
      </c>
      <c r="C312" s="2" t="n">
        <v>194</v>
      </c>
      <c r="D312" s="2" t="n">
        <v>1</v>
      </c>
      <c r="E312" s="2" t="n">
        <v>330</v>
      </c>
      <c r="F312" s="2" t="n">
        <v>110</v>
      </c>
      <c r="G312" s="2" t="s">
        <v>33</v>
      </c>
      <c r="H312" s="6" t="str">
        <f aca="false">A312&amp;"_"&amp;B312</f>
        <v>chauas_4</v>
      </c>
      <c r="I312" s="6" t="str">
        <f aca="false">H312&amp;"_"&amp;C312&amp;"_"&amp;G312</f>
        <v>chauas_4_194_Myrcia sulfiflora</v>
      </c>
      <c r="J312" s="6" t="n">
        <f aca="false">IF(COUNTIF($I$2:I312,I312)=1,1,0)</f>
        <v>1</v>
      </c>
      <c r="K312" s="6" t="n">
        <f aca="false">E312*$Q$2</f>
        <v>33</v>
      </c>
      <c r="L312" s="7" t="n">
        <f aca="false">K312/PI()</f>
        <v>10.5042262440651</v>
      </c>
      <c r="M312" s="8" t="n">
        <f aca="false">PI()*L312^2/40000</f>
        <v>0.0086659866513537</v>
      </c>
      <c r="N312" s="7" t="n">
        <f aca="false">F312*$Q$3</f>
        <v>11</v>
      </c>
      <c r="O312" s="3"/>
      <c r="P312" s="3"/>
      <c r="Q312" s="3"/>
    </row>
    <row r="313" customFormat="false" ht="15" hidden="false" customHeight="false" outlineLevel="0" collapsed="false">
      <c r="A313" s="2" t="s">
        <v>32</v>
      </c>
      <c r="B313" s="2" t="n">
        <v>4</v>
      </c>
      <c r="C313" s="2" t="n">
        <v>194</v>
      </c>
      <c r="D313" s="2" t="n">
        <v>2</v>
      </c>
      <c r="E313" s="2" t="n">
        <v>290</v>
      </c>
      <c r="F313" s="2" t="n">
        <v>110</v>
      </c>
      <c r="G313" s="2" t="s">
        <v>33</v>
      </c>
      <c r="H313" s="6" t="str">
        <f aca="false">A313&amp;"_"&amp;B313</f>
        <v>chauas_4</v>
      </c>
      <c r="I313" s="6" t="str">
        <f aca="false">H313&amp;"_"&amp;C313&amp;"_"&amp;G313</f>
        <v>chauas_4_194_Myrcia sulfiflora</v>
      </c>
      <c r="J313" s="6" t="n">
        <f aca="false">IF(COUNTIF($I$2:I313,I313)=1,1,0)</f>
        <v>0</v>
      </c>
      <c r="K313" s="6" t="n">
        <f aca="false">E313*$Q$2</f>
        <v>29</v>
      </c>
      <c r="L313" s="7" t="n">
        <f aca="false">K313/PI()</f>
        <v>9.23098669932993</v>
      </c>
      <c r="M313" s="8" t="n">
        <f aca="false">PI()*L313^2/40000</f>
        <v>0.0066924653570142</v>
      </c>
      <c r="N313" s="7" t="n">
        <f aca="false">F313*$Q$3</f>
        <v>11</v>
      </c>
      <c r="O313" s="3"/>
      <c r="P313" s="3"/>
      <c r="Q313" s="3"/>
    </row>
    <row r="314" customFormat="false" ht="15" hidden="false" customHeight="false" outlineLevel="0" collapsed="false">
      <c r="A314" s="2" t="s">
        <v>32</v>
      </c>
      <c r="B314" s="2" t="n">
        <v>4</v>
      </c>
      <c r="C314" s="2" t="n">
        <v>195</v>
      </c>
      <c r="D314" s="2" t="n">
        <v>1</v>
      </c>
      <c r="E314" s="2" t="n">
        <v>370</v>
      </c>
      <c r="F314" s="2" t="n">
        <v>60</v>
      </c>
      <c r="G314" s="2" t="s">
        <v>37</v>
      </c>
      <c r="H314" s="6" t="str">
        <f aca="false">A314&amp;"_"&amp;B314</f>
        <v>chauas_4</v>
      </c>
      <c r="I314" s="6" t="str">
        <f aca="false">H314&amp;"_"&amp;C314&amp;"_"&amp;G314</f>
        <v>chauas_4_195_Tabebuia cassinoides</v>
      </c>
      <c r="J314" s="6" t="n">
        <f aca="false">IF(COUNTIF($I$2:I314,I314)=1,1,0)</f>
        <v>1</v>
      </c>
      <c r="K314" s="6" t="n">
        <f aca="false">E314*$Q$2</f>
        <v>37</v>
      </c>
      <c r="L314" s="7" t="n">
        <f aca="false">K314/PI()</f>
        <v>11.7774657888003</v>
      </c>
      <c r="M314" s="8" t="n">
        <f aca="false">PI()*L314^2/40000</f>
        <v>0.0108941558546402</v>
      </c>
      <c r="N314" s="7" t="n">
        <f aca="false">F314*$Q$3</f>
        <v>6</v>
      </c>
      <c r="O314" s="3"/>
      <c r="P314" s="3"/>
      <c r="Q314" s="3"/>
    </row>
    <row r="315" customFormat="false" ht="15" hidden="false" customHeight="false" outlineLevel="0" collapsed="false">
      <c r="A315" s="2" t="s">
        <v>32</v>
      </c>
      <c r="B315" s="2" t="n">
        <v>4</v>
      </c>
      <c r="C315" s="2" t="n">
        <v>195</v>
      </c>
      <c r="D315" s="2" t="n">
        <v>2</v>
      </c>
      <c r="E315" s="2" t="n">
        <v>330</v>
      </c>
      <c r="F315" s="2" t="n">
        <v>60</v>
      </c>
      <c r="G315" s="2" t="s">
        <v>37</v>
      </c>
      <c r="H315" s="6" t="str">
        <f aca="false">A315&amp;"_"&amp;B315</f>
        <v>chauas_4</v>
      </c>
      <c r="I315" s="6" t="str">
        <f aca="false">H315&amp;"_"&amp;C315&amp;"_"&amp;G315</f>
        <v>chauas_4_195_Tabebuia cassinoides</v>
      </c>
      <c r="J315" s="6" t="n">
        <f aca="false">IF(COUNTIF($I$2:I315,I315)=1,1,0)</f>
        <v>0</v>
      </c>
      <c r="K315" s="6" t="n">
        <f aca="false">E315*$Q$2</f>
        <v>33</v>
      </c>
      <c r="L315" s="7" t="n">
        <f aca="false">K315/PI()</f>
        <v>10.5042262440651</v>
      </c>
      <c r="M315" s="8" t="n">
        <f aca="false">PI()*L315^2/40000</f>
        <v>0.0086659866513537</v>
      </c>
      <c r="N315" s="7" t="n">
        <f aca="false">F315*$Q$3</f>
        <v>6</v>
      </c>
      <c r="O315" s="3"/>
      <c r="P315" s="3"/>
      <c r="Q315" s="3"/>
    </row>
    <row r="316" customFormat="false" ht="15" hidden="false" customHeight="false" outlineLevel="0" collapsed="false">
      <c r="A316" s="2" t="s">
        <v>32</v>
      </c>
      <c r="B316" s="2" t="n">
        <v>4</v>
      </c>
      <c r="C316" s="2" t="n">
        <v>195</v>
      </c>
      <c r="D316" s="2" t="n">
        <v>3</v>
      </c>
      <c r="E316" s="2" t="n">
        <v>230</v>
      </c>
      <c r="F316" s="2" t="n">
        <v>60</v>
      </c>
      <c r="G316" s="2" t="s">
        <v>37</v>
      </c>
      <c r="H316" s="6" t="str">
        <f aca="false">A316&amp;"_"&amp;B316</f>
        <v>chauas_4</v>
      </c>
      <c r="I316" s="6" t="str">
        <f aca="false">H316&amp;"_"&amp;C316&amp;"_"&amp;G316</f>
        <v>chauas_4_195_Tabebuia cassinoides</v>
      </c>
      <c r="J316" s="6" t="n">
        <f aca="false">IF(COUNTIF($I$2:I316,I316)=1,1,0)</f>
        <v>0</v>
      </c>
      <c r="K316" s="6" t="n">
        <f aca="false">E316*$Q$2</f>
        <v>23</v>
      </c>
      <c r="L316" s="7" t="n">
        <f aca="false">K316/PI()</f>
        <v>7.32112738222719</v>
      </c>
      <c r="M316" s="8" t="n">
        <f aca="false">PI()*L316^2/40000</f>
        <v>0.00420964824478063</v>
      </c>
      <c r="N316" s="7" t="n">
        <f aca="false">F316*$Q$3</f>
        <v>6</v>
      </c>
      <c r="O316" s="3"/>
      <c r="P316" s="3"/>
      <c r="Q316" s="3"/>
    </row>
    <row r="317" customFormat="false" ht="15" hidden="false" customHeight="false" outlineLevel="0" collapsed="false">
      <c r="A317" s="2" t="s">
        <v>32</v>
      </c>
      <c r="B317" s="2" t="n">
        <v>4</v>
      </c>
      <c r="C317" s="2" t="n">
        <v>195</v>
      </c>
      <c r="D317" s="2" t="n">
        <v>4</v>
      </c>
      <c r="E317" s="2" t="n">
        <v>240</v>
      </c>
      <c r="F317" s="2" t="n">
        <v>60</v>
      </c>
      <c r="G317" s="2" t="s">
        <v>37</v>
      </c>
      <c r="H317" s="6" t="str">
        <f aca="false">A317&amp;"_"&amp;B317</f>
        <v>chauas_4</v>
      </c>
      <c r="I317" s="6" t="str">
        <f aca="false">H317&amp;"_"&amp;C317&amp;"_"&amp;G317</f>
        <v>chauas_4_195_Tabebuia cassinoides</v>
      </c>
      <c r="J317" s="6" t="n">
        <f aca="false">IF(COUNTIF($I$2:I317,I317)=1,1,0)</f>
        <v>0</v>
      </c>
      <c r="K317" s="6" t="n">
        <f aca="false">E317*$Q$2</f>
        <v>24</v>
      </c>
      <c r="L317" s="7" t="n">
        <f aca="false">K317/PI()</f>
        <v>7.63943726841098</v>
      </c>
      <c r="M317" s="8" t="n">
        <f aca="false">PI()*L317^2/40000</f>
        <v>0.00458366236104659</v>
      </c>
      <c r="N317" s="7" t="n">
        <f aca="false">F317*$Q$3</f>
        <v>6</v>
      </c>
      <c r="O317" s="3"/>
      <c r="P317" s="3"/>
      <c r="Q317" s="3"/>
    </row>
    <row r="318" customFormat="false" ht="15" hidden="false" customHeight="false" outlineLevel="0" collapsed="false">
      <c r="A318" s="2" t="s">
        <v>32</v>
      </c>
      <c r="B318" s="2" t="n">
        <v>4</v>
      </c>
      <c r="C318" s="2" t="n">
        <v>196</v>
      </c>
      <c r="D318" s="2" t="n">
        <v>1</v>
      </c>
      <c r="E318" s="2" t="n">
        <v>350</v>
      </c>
      <c r="F318" s="2" t="n">
        <v>120</v>
      </c>
      <c r="G318" s="2" t="s">
        <v>33</v>
      </c>
      <c r="H318" s="6" t="str">
        <f aca="false">A318&amp;"_"&amp;B318</f>
        <v>chauas_4</v>
      </c>
      <c r="I318" s="6" t="str">
        <f aca="false">H318&amp;"_"&amp;C318&amp;"_"&amp;G318</f>
        <v>chauas_4_196_Myrcia sulfiflora</v>
      </c>
      <c r="J318" s="6" t="n">
        <f aca="false">IF(COUNTIF($I$2:I318,I318)=1,1,0)</f>
        <v>1</v>
      </c>
      <c r="K318" s="6" t="n">
        <f aca="false">E318*$Q$2</f>
        <v>35</v>
      </c>
      <c r="L318" s="7" t="n">
        <f aca="false">K318/PI()</f>
        <v>11.1408460164327</v>
      </c>
      <c r="M318" s="8" t="n">
        <f aca="false">PI()*L318^2/40000</f>
        <v>0.00974824026437859</v>
      </c>
      <c r="N318" s="7" t="n">
        <f aca="false">F318*$Q$3</f>
        <v>12</v>
      </c>
      <c r="O318" s="3"/>
      <c r="P318" s="3"/>
      <c r="Q318" s="3"/>
    </row>
    <row r="319" customFormat="false" ht="15" hidden="false" customHeight="false" outlineLevel="0" collapsed="false">
      <c r="A319" s="2" t="s">
        <v>32</v>
      </c>
      <c r="B319" s="2" t="n">
        <v>4</v>
      </c>
      <c r="C319" s="2" t="n">
        <v>197</v>
      </c>
      <c r="D319" s="2" t="n">
        <v>1</v>
      </c>
      <c r="E319" s="2" t="n">
        <v>290</v>
      </c>
      <c r="F319" s="2" t="n">
        <v>50</v>
      </c>
      <c r="G319" s="2" t="s">
        <v>37</v>
      </c>
      <c r="H319" s="6" t="str">
        <f aca="false">A319&amp;"_"&amp;B319</f>
        <v>chauas_4</v>
      </c>
      <c r="I319" s="6" t="str">
        <f aca="false">H319&amp;"_"&amp;C319&amp;"_"&amp;G319</f>
        <v>chauas_4_197_Tabebuia cassinoides</v>
      </c>
      <c r="J319" s="6" t="n">
        <f aca="false">IF(COUNTIF($I$2:I319,I319)=1,1,0)</f>
        <v>1</v>
      </c>
      <c r="K319" s="6" t="n">
        <f aca="false">E319*$Q$2</f>
        <v>29</v>
      </c>
      <c r="L319" s="7" t="n">
        <f aca="false">K319/PI()</f>
        <v>9.23098669932993</v>
      </c>
      <c r="M319" s="8" t="n">
        <f aca="false">PI()*L319^2/40000</f>
        <v>0.0066924653570142</v>
      </c>
      <c r="N319" s="7" t="n">
        <f aca="false">F319*$Q$3</f>
        <v>5</v>
      </c>
      <c r="O319" s="3"/>
      <c r="P319" s="3"/>
      <c r="Q319" s="3"/>
    </row>
    <row r="320" customFormat="false" ht="15" hidden="false" customHeight="false" outlineLevel="0" collapsed="false">
      <c r="A320" s="2" t="s">
        <v>32</v>
      </c>
      <c r="B320" s="2" t="n">
        <v>4</v>
      </c>
      <c r="C320" s="2" t="n">
        <v>197</v>
      </c>
      <c r="D320" s="2" t="n">
        <v>2</v>
      </c>
      <c r="E320" s="2" t="n">
        <v>300</v>
      </c>
      <c r="F320" s="2" t="n">
        <v>50</v>
      </c>
      <c r="G320" s="2" t="s">
        <v>37</v>
      </c>
      <c r="H320" s="6" t="str">
        <f aca="false">A320&amp;"_"&amp;B320</f>
        <v>chauas_4</v>
      </c>
      <c r="I320" s="6" t="str">
        <f aca="false">H320&amp;"_"&amp;C320&amp;"_"&amp;G320</f>
        <v>chauas_4_197_Tabebuia cassinoides</v>
      </c>
      <c r="J320" s="6" t="n">
        <f aca="false">IF(COUNTIF($I$2:I320,I320)=1,1,0)</f>
        <v>0</v>
      </c>
      <c r="K320" s="6" t="n">
        <f aca="false">E320*$Q$2</f>
        <v>30</v>
      </c>
      <c r="L320" s="7" t="n">
        <f aca="false">K320/PI()</f>
        <v>9.54929658551372</v>
      </c>
      <c r="M320" s="8" t="n">
        <f aca="false">PI()*L320^2/40000</f>
        <v>0.00716197243913529</v>
      </c>
      <c r="N320" s="7" t="n">
        <f aca="false">F320*$Q$3</f>
        <v>5</v>
      </c>
      <c r="O320" s="3"/>
      <c r="P320" s="3"/>
      <c r="Q320" s="3"/>
    </row>
    <row r="321" customFormat="false" ht="15" hidden="false" customHeight="false" outlineLevel="0" collapsed="false">
      <c r="A321" s="2" t="s">
        <v>32</v>
      </c>
      <c r="B321" s="2" t="n">
        <v>4</v>
      </c>
      <c r="C321" s="2" t="n">
        <v>198</v>
      </c>
      <c r="D321" s="2" t="n">
        <v>1</v>
      </c>
      <c r="E321" s="2" t="n">
        <v>270</v>
      </c>
      <c r="F321" s="2" t="n">
        <v>40</v>
      </c>
      <c r="G321" s="2" t="s">
        <v>33</v>
      </c>
      <c r="H321" s="6" t="str">
        <f aca="false">A321&amp;"_"&amp;B321</f>
        <v>chauas_4</v>
      </c>
      <c r="I321" s="6" t="str">
        <f aca="false">H321&amp;"_"&amp;C321&amp;"_"&amp;G321</f>
        <v>chauas_4_198_Myrcia sulfiflora</v>
      </c>
      <c r="J321" s="6" t="n">
        <f aca="false">IF(COUNTIF($I$2:I321,I321)=1,1,0)</f>
        <v>1</v>
      </c>
      <c r="K321" s="6" t="n">
        <f aca="false">E321*$Q$2</f>
        <v>27</v>
      </c>
      <c r="L321" s="7" t="n">
        <f aca="false">K321/PI()</f>
        <v>8.59436692696235</v>
      </c>
      <c r="M321" s="8" t="n">
        <f aca="false">PI()*L321^2/40000</f>
        <v>0.00580119767569958</v>
      </c>
      <c r="N321" s="7" t="n">
        <f aca="false">F321*$Q$3</f>
        <v>4</v>
      </c>
      <c r="O321" s="3"/>
      <c r="P321" s="3"/>
      <c r="Q321" s="3"/>
    </row>
    <row r="322" customFormat="false" ht="15" hidden="false" customHeight="false" outlineLevel="0" collapsed="false">
      <c r="A322" s="2" t="s">
        <v>32</v>
      </c>
      <c r="B322" s="2" t="n">
        <v>4</v>
      </c>
      <c r="C322" s="2" t="n">
        <v>199</v>
      </c>
      <c r="D322" s="2" t="n">
        <v>1</v>
      </c>
      <c r="E322" s="2" t="n">
        <v>1130</v>
      </c>
      <c r="F322" s="2" t="n">
        <v>190</v>
      </c>
      <c r="G322" s="2" t="s">
        <v>48</v>
      </c>
      <c r="H322" s="6" t="str">
        <f aca="false">A322&amp;"_"&amp;B322</f>
        <v>chauas_4</v>
      </c>
      <c r="I322" s="6" t="str">
        <f aca="false">H322&amp;"_"&amp;C322&amp;"_"&amp;G322</f>
        <v>chauas_4_199_Calophyllum brasiliensis</v>
      </c>
      <c r="J322" s="6" t="n">
        <f aca="false">IF(COUNTIF($I$2:I322,I322)=1,1,0)</f>
        <v>1</v>
      </c>
      <c r="K322" s="6" t="n">
        <f aca="false">E322*$Q$2</f>
        <v>113</v>
      </c>
      <c r="L322" s="7" t="n">
        <f aca="false">K322/PI()</f>
        <v>35.9690171387684</v>
      </c>
      <c r="M322" s="8" t="n">
        <f aca="false">PI()*L322^2/40000</f>
        <v>0.101612473417021</v>
      </c>
      <c r="N322" s="7" t="n">
        <f aca="false">F322*$Q$3</f>
        <v>19</v>
      </c>
      <c r="O322" s="3"/>
      <c r="P322" s="3"/>
      <c r="Q322" s="3"/>
    </row>
    <row r="323" customFormat="false" ht="15" hidden="false" customHeight="false" outlineLevel="0" collapsed="false">
      <c r="A323" s="2" t="s">
        <v>32</v>
      </c>
      <c r="B323" s="2" t="n">
        <v>4</v>
      </c>
      <c r="C323" s="2" t="n">
        <v>200</v>
      </c>
      <c r="D323" s="2" t="n">
        <v>1</v>
      </c>
      <c r="E323" s="2" t="n">
        <v>170</v>
      </c>
      <c r="F323" s="2" t="n">
        <v>70</v>
      </c>
      <c r="G323" s="2" t="s">
        <v>37</v>
      </c>
      <c r="H323" s="6" t="str">
        <f aca="false">A323&amp;"_"&amp;B323</f>
        <v>chauas_4</v>
      </c>
      <c r="I323" s="6" t="str">
        <f aca="false">H323&amp;"_"&amp;C323&amp;"_"&amp;G323</f>
        <v>chauas_4_200_Tabebuia cassinoides</v>
      </c>
      <c r="J323" s="6" t="n">
        <f aca="false">IF(COUNTIF($I$2:I323,I323)=1,1,0)</f>
        <v>1</v>
      </c>
      <c r="K323" s="6" t="n">
        <f aca="false">E323*$Q$2</f>
        <v>17</v>
      </c>
      <c r="L323" s="7" t="n">
        <f aca="false">K323/PI()</f>
        <v>5.41126806512444</v>
      </c>
      <c r="M323" s="8" t="n">
        <f aca="false">PI()*L323^2/40000</f>
        <v>0.00229978892767789</v>
      </c>
      <c r="N323" s="7" t="n">
        <f aca="false">F323*$Q$3</f>
        <v>7</v>
      </c>
      <c r="O323" s="3"/>
      <c r="P323" s="3"/>
      <c r="Q323" s="3"/>
    </row>
    <row r="324" customFormat="false" ht="15" hidden="false" customHeight="false" outlineLevel="0" collapsed="false">
      <c r="A324" s="2" t="s">
        <v>32</v>
      </c>
      <c r="B324" s="2" t="n">
        <v>4</v>
      </c>
      <c r="C324" s="2" t="n">
        <v>201</v>
      </c>
      <c r="D324" s="2" t="n">
        <v>1</v>
      </c>
      <c r="E324" s="2" t="n">
        <v>250</v>
      </c>
      <c r="F324" s="2" t="n">
        <v>150</v>
      </c>
      <c r="G324" s="2" t="s">
        <v>37</v>
      </c>
      <c r="H324" s="6" t="str">
        <f aca="false">A324&amp;"_"&amp;B324</f>
        <v>chauas_4</v>
      </c>
      <c r="I324" s="6" t="str">
        <f aca="false">H324&amp;"_"&amp;C324&amp;"_"&amp;G324</f>
        <v>chauas_4_201_Tabebuia cassinoides</v>
      </c>
      <c r="J324" s="6" t="n">
        <f aca="false">IF(COUNTIF($I$2:I324,I324)=1,1,0)</f>
        <v>1</v>
      </c>
      <c r="K324" s="6" t="n">
        <f aca="false">E324*$Q$2</f>
        <v>25</v>
      </c>
      <c r="L324" s="7" t="n">
        <f aca="false">K324/PI()</f>
        <v>7.95774715459477</v>
      </c>
      <c r="M324" s="8" t="n">
        <f aca="false">PI()*L324^2/40000</f>
        <v>0.00497359197162173</v>
      </c>
      <c r="N324" s="7" t="n">
        <f aca="false">F324*$Q$3</f>
        <v>15</v>
      </c>
      <c r="O324" s="3"/>
      <c r="P324" s="3"/>
      <c r="Q324" s="3"/>
    </row>
    <row r="325" customFormat="false" ht="15" hidden="false" customHeight="false" outlineLevel="0" collapsed="false">
      <c r="A325" s="2" t="s">
        <v>32</v>
      </c>
      <c r="B325" s="2" t="n">
        <v>4</v>
      </c>
      <c r="C325" s="2" t="n">
        <v>202</v>
      </c>
      <c r="D325" s="2" t="n">
        <v>1</v>
      </c>
      <c r="E325" s="2" t="n">
        <v>190</v>
      </c>
      <c r="F325" s="2" t="n">
        <v>60</v>
      </c>
      <c r="G325" s="2" t="s">
        <v>37</v>
      </c>
      <c r="H325" s="6" t="str">
        <f aca="false">A325&amp;"_"&amp;B325</f>
        <v>chauas_4</v>
      </c>
      <c r="I325" s="6" t="str">
        <f aca="false">H325&amp;"_"&amp;C325&amp;"_"&amp;G325</f>
        <v>chauas_4_202_Tabebuia cassinoides</v>
      </c>
      <c r="J325" s="6" t="n">
        <f aca="false">IF(COUNTIF($I$2:I325,I325)=1,1,0)</f>
        <v>1</v>
      </c>
      <c r="K325" s="6" t="n">
        <f aca="false">E325*$Q$2</f>
        <v>19</v>
      </c>
      <c r="L325" s="7" t="n">
        <f aca="false">K325/PI()</f>
        <v>6.04788783749202</v>
      </c>
      <c r="M325" s="8" t="n">
        <f aca="false">PI()*L325^2/40000</f>
        <v>0.00287274672280871</v>
      </c>
      <c r="N325" s="7" t="n">
        <f aca="false">F325*$Q$3</f>
        <v>6</v>
      </c>
      <c r="O325" s="3"/>
      <c r="P325" s="3"/>
      <c r="Q325" s="3"/>
    </row>
    <row r="326" customFormat="false" ht="15" hidden="false" customHeight="false" outlineLevel="0" collapsed="false">
      <c r="A326" s="2" t="s">
        <v>32</v>
      </c>
      <c r="B326" s="2" t="n">
        <v>4</v>
      </c>
      <c r="C326" s="2" t="n">
        <v>203</v>
      </c>
      <c r="D326" s="2" t="n">
        <v>1</v>
      </c>
      <c r="E326" s="2" t="n">
        <v>210</v>
      </c>
      <c r="F326" s="2" t="n">
        <v>100</v>
      </c>
      <c r="G326" s="2" t="s">
        <v>33</v>
      </c>
      <c r="H326" s="6" t="str">
        <f aca="false">A326&amp;"_"&amp;B326</f>
        <v>chauas_4</v>
      </c>
      <c r="I326" s="6" t="str">
        <f aca="false">H326&amp;"_"&amp;C326&amp;"_"&amp;G326</f>
        <v>chauas_4_203_Myrcia sulfiflora</v>
      </c>
      <c r="J326" s="6" t="n">
        <f aca="false">IF(COUNTIF($I$2:I326,I326)=1,1,0)</f>
        <v>1</v>
      </c>
      <c r="K326" s="6" t="n">
        <f aca="false">E326*$Q$2</f>
        <v>21</v>
      </c>
      <c r="L326" s="7" t="n">
        <f aca="false">K326/PI()</f>
        <v>6.68450760985961</v>
      </c>
      <c r="M326" s="8" t="n">
        <f aca="false">PI()*L326^2/40000</f>
        <v>0.00350936649517629</v>
      </c>
      <c r="N326" s="7" t="n">
        <f aca="false">F326*$Q$3</f>
        <v>10</v>
      </c>
      <c r="O326" s="3"/>
      <c r="P326" s="3"/>
      <c r="Q326" s="3"/>
    </row>
    <row r="327" customFormat="false" ht="15" hidden="false" customHeight="false" outlineLevel="0" collapsed="false">
      <c r="A327" s="2" t="s">
        <v>32</v>
      </c>
      <c r="B327" s="2" t="n">
        <v>4</v>
      </c>
      <c r="C327" s="2" t="n">
        <v>204</v>
      </c>
      <c r="D327" s="2" t="n">
        <v>1</v>
      </c>
      <c r="E327" s="2" t="n">
        <v>260</v>
      </c>
      <c r="F327" s="2" t="n">
        <v>50</v>
      </c>
      <c r="G327" s="2" t="s">
        <v>37</v>
      </c>
      <c r="H327" s="6" t="str">
        <f aca="false">A327&amp;"_"&amp;B327</f>
        <v>chauas_4</v>
      </c>
      <c r="I327" s="6" t="str">
        <f aca="false">H327&amp;"_"&amp;C327&amp;"_"&amp;G327</f>
        <v>chauas_4_204_Tabebuia cassinoides</v>
      </c>
      <c r="J327" s="6" t="n">
        <f aca="false">IF(COUNTIF($I$2:I327,I327)=1,1,0)</f>
        <v>1</v>
      </c>
      <c r="K327" s="6" t="n">
        <f aca="false">E327*$Q$2</f>
        <v>26</v>
      </c>
      <c r="L327" s="7" t="n">
        <f aca="false">K327/PI()</f>
        <v>8.27605704077856</v>
      </c>
      <c r="M327" s="8" t="n">
        <f aca="false">PI()*L327^2/40000</f>
        <v>0.00537943707650606</v>
      </c>
      <c r="N327" s="7" t="n">
        <f aca="false">F327*$Q$3</f>
        <v>5</v>
      </c>
      <c r="O327" s="3"/>
      <c r="P327" s="3"/>
      <c r="Q327" s="3"/>
    </row>
    <row r="328" customFormat="false" ht="15" hidden="false" customHeight="false" outlineLevel="0" collapsed="false">
      <c r="A328" s="2" t="s">
        <v>32</v>
      </c>
      <c r="B328" s="2" t="n">
        <v>4</v>
      </c>
      <c r="C328" s="2" t="n">
        <v>205</v>
      </c>
      <c r="D328" s="2" t="n">
        <v>1</v>
      </c>
      <c r="E328" s="2" t="n">
        <v>250</v>
      </c>
      <c r="F328" s="2" t="n">
        <v>100</v>
      </c>
      <c r="G328" s="2" t="s">
        <v>37</v>
      </c>
      <c r="H328" s="6" t="str">
        <f aca="false">A328&amp;"_"&amp;B328</f>
        <v>chauas_4</v>
      </c>
      <c r="I328" s="6" t="str">
        <f aca="false">H328&amp;"_"&amp;C328&amp;"_"&amp;G328</f>
        <v>chauas_4_205_Tabebuia cassinoides</v>
      </c>
      <c r="J328" s="6" t="n">
        <f aca="false">IF(COUNTIF($I$2:I328,I328)=1,1,0)</f>
        <v>1</v>
      </c>
      <c r="K328" s="6" t="n">
        <f aca="false">E328*$Q$2</f>
        <v>25</v>
      </c>
      <c r="L328" s="7" t="n">
        <f aca="false">K328/PI()</f>
        <v>7.95774715459477</v>
      </c>
      <c r="M328" s="8" t="n">
        <f aca="false">PI()*L328^2/40000</f>
        <v>0.00497359197162173</v>
      </c>
      <c r="N328" s="7" t="n">
        <f aca="false">F328*$Q$3</f>
        <v>10</v>
      </c>
      <c r="O328" s="3"/>
      <c r="P328" s="3"/>
      <c r="Q328" s="3"/>
    </row>
    <row r="329" customFormat="false" ht="15" hidden="false" customHeight="false" outlineLevel="0" collapsed="false">
      <c r="A329" s="2" t="s">
        <v>32</v>
      </c>
      <c r="B329" s="2" t="n">
        <v>4</v>
      </c>
      <c r="C329" s="2" t="n">
        <v>206</v>
      </c>
      <c r="D329" s="2" t="n">
        <v>1</v>
      </c>
      <c r="E329" s="2" t="n">
        <v>260</v>
      </c>
      <c r="F329" s="2" t="n">
        <v>80</v>
      </c>
      <c r="G329" s="2" t="s">
        <v>33</v>
      </c>
      <c r="H329" s="6" t="str">
        <f aca="false">A329&amp;"_"&amp;B329</f>
        <v>chauas_4</v>
      </c>
      <c r="I329" s="6" t="str">
        <f aca="false">H329&amp;"_"&amp;C329&amp;"_"&amp;G329</f>
        <v>chauas_4_206_Myrcia sulfiflora</v>
      </c>
      <c r="J329" s="6" t="n">
        <f aca="false">IF(COUNTIF($I$2:I329,I329)=1,1,0)</f>
        <v>1</v>
      </c>
      <c r="K329" s="6" t="n">
        <f aca="false">E329*$Q$2</f>
        <v>26</v>
      </c>
      <c r="L329" s="7" t="n">
        <f aca="false">K329/PI()</f>
        <v>8.27605704077856</v>
      </c>
      <c r="M329" s="8" t="n">
        <f aca="false">PI()*L329^2/40000</f>
        <v>0.00537943707650606</v>
      </c>
      <c r="N329" s="7" t="n">
        <f aca="false">F329*$Q$3</f>
        <v>8</v>
      </c>
      <c r="O329" s="3"/>
      <c r="P329" s="3"/>
      <c r="Q329" s="3"/>
    </row>
    <row r="330" customFormat="false" ht="15" hidden="false" customHeight="false" outlineLevel="0" collapsed="false">
      <c r="A330" s="2" t="s">
        <v>32</v>
      </c>
      <c r="B330" s="2" t="n">
        <v>4</v>
      </c>
      <c r="C330" s="2" t="n">
        <v>207</v>
      </c>
      <c r="D330" s="2" t="n">
        <v>1</v>
      </c>
      <c r="E330" s="2" t="n">
        <v>270</v>
      </c>
      <c r="F330" s="2" t="n">
        <v>90</v>
      </c>
      <c r="G330" s="2" t="s">
        <v>33</v>
      </c>
      <c r="H330" s="6" t="str">
        <f aca="false">A330&amp;"_"&amp;B330</f>
        <v>chauas_4</v>
      </c>
      <c r="I330" s="6" t="str">
        <f aca="false">H330&amp;"_"&amp;C330&amp;"_"&amp;G330</f>
        <v>chauas_4_207_Myrcia sulfiflora</v>
      </c>
      <c r="J330" s="6" t="n">
        <f aca="false">IF(COUNTIF($I$2:I330,I330)=1,1,0)</f>
        <v>1</v>
      </c>
      <c r="K330" s="6" t="n">
        <f aca="false">E330*$Q$2</f>
        <v>27</v>
      </c>
      <c r="L330" s="7" t="n">
        <f aca="false">K330/PI()</f>
        <v>8.59436692696235</v>
      </c>
      <c r="M330" s="8" t="n">
        <f aca="false">PI()*L330^2/40000</f>
        <v>0.00580119767569958</v>
      </c>
      <c r="N330" s="7" t="n">
        <f aca="false">F330*$Q$3</f>
        <v>9</v>
      </c>
      <c r="O330" s="3"/>
      <c r="P330" s="3"/>
      <c r="Q330" s="3"/>
    </row>
    <row r="331" customFormat="false" ht="15" hidden="false" customHeight="false" outlineLevel="0" collapsed="false">
      <c r="A331" s="2" t="s">
        <v>32</v>
      </c>
      <c r="B331" s="2" t="n">
        <v>4</v>
      </c>
      <c r="C331" s="2" t="n">
        <v>208</v>
      </c>
      <c r="D331" s="2" t="n">
        <v>1</v>
      </c>
      <c r="E331" s="2" t="n">
        <v>350</v>
      </c>
      <c r="F331" s="2" t="n">
        <v>120</v>
      </c>
      <c r="G331" s="2" t="s">
        <v>33</v>
      </c>
      <c r="H331" s="6" t="str">
        <f aca="false">A331&amp;"_"&amp;B331</f>
        <v>chauas_4</v>
      </c>
      <c r="I331" s="6" t="str">
        <f aca="false">H331&amp;"_"&amp;C331&amp;"_"&amp;G331</f>
        <v>chauas_4_208_Myrcia sulfiflora</v>
      </c>
      <c r="J331" s="6" t="n">
        <f aca="false">IF(COUNTIF($I$2:I331,I331)=1,1,0)</f>
        <v>1</v>
      </c>
      <c r="K331" s="6" t="n">
        <f aca="false">E331*$Q$2</f>
        <v>35</v>
      </c>
      <c r="L331" s="7" t="n">
        <f aca="false">K331/PI()</f>
        <v>11.1408460164327</v>
      </c>
      <c r="M331" s="8" t="n">
        <f aca="false">PI()*L331^2/40000</f>
        <v>0.00974824026437859</v>
      </c>
      <c r="N331" s="7" t="n">
        <f aca="false">F331*$Q$3</f>
        <v>12</v>
      </c>
      <c r="O331" s="3"/>
      <c r="P331" s="3"/>
      <c r="Q331" s="3"/>
    </row>
    <row r="332" customFormat="false" ht="15" hidden="false" customHeight="false" outlineLevel="0" collapsed="false">
      <c r="A332" s="2" t="s">
        <v>32</v>
      </c>
      <c r="B332" s="2" t="n">
        <v>4</v>
      </c>
      <c r="C332" s="2" t="n">
        <v>208</v>
      </c>
      <c r="D332" s="2" t="n">
        <v>2</v>
      </c>
      <c r="E332" s="2" t="n">
        <v>400</v>
      </c>
      <c r="F332" s="2" t="n">
        <v>120</v>
      </c>
      <c r="G332" s="2" t="s">
        <v>33</v>
      </c>
      <c r="H332" s="6" t="str">
        <f aca="false">A332&amp;"_"&amp;B332</f>
        <v>chauas_4</v>
      </c>
      <c r="I332" s="6" t="str">
        <f aca="false">H332&amp;"_"&amp;C332&amp;"_"&amp;G332</f>
        <v>chauas_4_208_Myrcia sulfiflora</v>
      </c>
      <c r="J332" s="6" t="n">
        <f aca="false">IF(COUNTIF($I$2:I332,I332)=1,1,0)</f>
        <v>0</v>
      </c>
      <c r="K332" s="6" t="n">
        <f aca="false">E332*$Q$2</f>
        <v>40</v>
      </c>
      <c r="L332" s="7" t="n">
        <f aca="false">K332/PI()</f>
        <v>12.7323954473516</v>
      </c>
      <c r="M332" s="8" t="n">
        <f aca="false">PI()*L332^2/40000</f>
        <v>0.0127323954473516</v>
      </c>
      <c r="N332" s="7" t="n">
        <f aca="false">F332*$Q$3</f>
        <v>12</v>
      </c>
      <c r="O332" s="3"/>
      <c r="P332" s="3"/>
      <c r="Q332" s="3"/>
    </row>
    <row r="333" customFormat="false" ht="15" hidden="false" customHeight="false" outlineLevel="0" collapsed="false">
      <c r="A333" s="2" t="s">
        <v>32</v>
      </c>
      <c r="B333" s="2" t="n">
        <v>4</v>
      </c>
      <c r="C333" s="2" t="n">
        <v>208</v>
      </c>
      <c r="D333" s="2" t="n">
        <v>3</v>
      </c>
      <c r="E333" s="2" t="n">
        <v>370</v>
      </c>
      <c r="F333" s="2" t="n">
        <v>120</v>
      </c>
      <c r="G333" s="2" t="s">
        <v>33</v>
      </c>
      <c r="H333" s="6" t="str">
        <f aca="false">A333&amp;"_"&amp;B333</f>
        <v>chauas_4</v>
      </c>
      <c r="I333" s="6" t="str">
        <f aca="false">H333&amp;"_"&amp;C333&amp;"_"&amp;G333</f>
        <v>chauas_4_208_Myrcia sulfiflora</v>
      </c>
      <c r="J333" s="6" t="n">
        <f aca="false">IF(COUNTIF($I$2:I333,I333)=1,1,0)</f>
        <v>0</v>
      </c>
      <c r="K333" s="6" t="n">
        <f aca="false">E333*$Q$2</f>
        <v>37</v>
      </c>
      <c r="L333" s="7" t="n">
        <f aca="false">K333/PI()</f>
        <v>11.7774657888003</v>
      </c>
      <c r="M333" s="8" t="n">
        <f aca="false">PI()*L333^2/40000</f>
        <v>0.0108941558546402</v>
      </c>
      <c r="N333" s="7" t="n">
        <f aca="false">F333*$Q$3</f>
        <v>12</v>
      </c>
      <c r="O333" s="3"/>
      <c r="P333" s="3"/>
      <c r="Q333" s="3"/>
    </row>
    <row r="334" customFormat="false" ht="15" hidden="false" customHeight="false" outlineLevel="0" collapsed="false">
      <c r="A334" s="2" t="s">
        <v>32</v>
      </c>
      <c r="B334" s="2" t="n">
        <v>4</v>
      </c>
      <c r="C334" s="2" t="n">
        <v>208</v>
      </c>
      <c r="D334" s="2" t="n">
        <v>4</v>
      </c>
      <c r="E334" s="2" t="n">
        <v>210</v>
      </c>
      <c r="F334" s="2" t="n">
        <v>120</v>
      </c>
      <c r="G334" s="2" t="s">
        <v>33</v>
      </c>
      <c r="H334" s="6" t="str">
        <f aca="false">A334&amp;"_"&amp;B334</f>
        <v>chauas_4</v>
      </c>
      <c r="I334" s="6" t="str">
        <f aca="false">H334&amp;"_"&amp;C334&amp;"_"&amp;G334</f>
        <v>chauas_4_208_Myrcia sulfiflora</v>
      </c>
      <c r="J334" s="6" t="n">
        <f aca="false">IF(COUNTIF($I$2:I334,I334)=1,1,0)</f>
        <v>0</v>
      </c>
      <c r="K334" s="6" t="n">
        <f aca="false">E334*$Q$2</f>
        <v>21</v>
      </c>
      <c r="L334" s="7" t="n">
        <f aca="false">K334/PI()</f>
        <v>6.68450760985961</v>
      </c>
      <c r="M334" s="8" t="n">
        <f aca="false">PI()*L334^2/40000</f>
        <v>0.00350936649517629</v>
      </c>
      <c r="N334" s="7" t="n">
        <f aca="false">F334*$Q$3</f>
        <v>12</v>
      </c>
      <c r="O334" s="3"/>
      <c r="P334" s="3"/>
      <c r="Q334" s="3"/>
    </row>
    <row r="335" customFormat="false" ht="15" hidden="false" customHeight="false" outlineLevel="0" collapsed="false">
      <c r="A335" s="2" t="s">
        <v>32</v>
      </c>
      <c r="B335" s="2" t="n">
        <v>4</v>
      </c>
      <c r="C335" s="2" t="n">
        <v>209</v>
      </c>
      <c r="D335" s="2" t="n">
        <v>1</v>
      </c>
      <c r="E335" s="2" t="n">
        <v>730</v>
      </c>
      <c r="F335" s="2" t="n">
        <v>130</v>
      </c>
      <c r="G335" s="2" t="s">
        <v>33</v>
      </c>
      <c r="H335" s="6" t="str">
        <f aca="false">A335&amp;"_"&amp;B335</f>
        <v>chauas_4</v>
      </c>
      <c r="I335" s="6" t="str">
        <f aca="false">H335&amp;"_"&amp;C335&amp;"_"&amp;G335</f>
        <v>chauas_4_209_Myrcia sulfiflora</v>
      </c>
      <c r="J335" s="6" t="n">
        <f aca="false">IF(COUNTIF($I$2:I335,I335)=1,1,0)</f>
        <v>1</v>
      </c>
      <c r="K335" s="6" t="n">
        <f aca="false">E335*$Q$2</f>
        <v>73</v>
      </c>
      <c r="L335" s="7" t="n">
        <f aca="false">K335/PI()</f>
        <v>23.2366216914167</v>
      </c>
      <c r="M335" s="8" t="n">
        <f aca="false">PI()*L335^2/40000</f>
        <v>0.0424068345868355</v>
      </c>
      <c r="N335" s="7" t="n">
        <f aca="false">F335*$Q$3</f>
        <v>13</v>
      </c>
      <c r="O335" s="3"/>
      <c r="P335" s="3"/>
      <c r="Q335" s="3"/>
    </row>
    <row r="336" customFormat="false" ht="15" hidden="false" customHeight="false" outlineLevel="0" collapsed="false">
      <c r="A336" s="2" t="s">
        <v>32</v>
      </c>
      <c r="B336" s="2" t="n">
        <v>4</v>
      </c>
      <c r="C336" s="2" t="n">
        <v>210</v>
      </c>
      <c r="D336" s="2" t="n">
        <v>1</v>
      </c>
      <c r="E336" s="2" t="n">
        <v>690</v>
      </c>
      <c r="F336" s="2" t="n">
        <v>130</v>
      </c>
      <c r="G336" s="2" t="s">
        <v>33</v>
      </c>
      <c r="H336" s="6" t="str">
        <f aca="false">A336&amp;"_"&amp;B336</f>
        <v>chauas_4</v>
      </c>
      <c r="I336" s="6" t="str">
        <f aca="false">H336&amp;"_"&amp;C336&amp;"_"&amp;G336</f>
        <v>chauas_4_210_Myrcia sulfiflora</v>
      </c>
      <c r="J336" s="6" t="n">
        <f aca="false">IF(COUNTIF($I$2:I336,I336)=1,1,0)</f>
        <v>1</v>
      </c>
      <c r="K336" s="6" t="n">
        <f aca="false">E336*$Q$2</f>
        <v>69</v>
      </c>
      <c r="L336" s="7" t="n">
        <f aca="false">K336/PI()</f>
        <v>21.9633821466816</v>
      </c>
      <c r="M336" s="8" t="n">
        <f aca="false">PI()*L336^2/40000</f>
        <v>0.0378868342030257</v>
      </c>
      <c r="N336" s="7" t="n">
        <f aca="false">F336*$Q$3</f>
        <v>13</v>
      </c>
      <c r="O336" s="3"/>
      <c r="P336" s="3"/>
      <c r="Q336" s="3"/>
    </row>
    <row r="337" customFormat="false" ht="15" hidden="false" customHeight="false" outlineLevel="0" collapsed="false">
      <c r="A337" s="2" t="s">
        <v>32</v>
      </c>
      <c r="B337" s="2" t="n">
        <v>4</v>
      </c>
      <c r="C337" s="2" t="n">
        <v>211</v>
      </c>
      <c r="D337" s="2" t="n">
        <v>1</v>
      </c>
      <c r="E337" s="2" t="n">
        <v>300</v>
      </c>
      <c r="F337" s="2" t="n">
        <v>100</v>
      </c>
      <c r="G337" s="2" t="s">
        <v>37</v>
      </c>
      <c r="H337" s="6" t="str">
        <f aca="false">A337&amp;"_"&amp;B337</f>
        <v>chauas_4</v>
      </c>
      <c r="I337" s="6" t="str">
        <f aca="false">H337&amp;"_"&amp;C337&amp;"_"&amp;G337</f>
        <v>chauas_4_211_Tabebuia cassinoides</v>
      </c>
      <c r="J337" s="6" t="n">
        <f aca="false">IF(COUNTIF($I$2:I337,I337)=1,1,0)</f>
        <v>1</v>
      </c>
      <c r="K337" s="6" t="n">
        <f aca="false">E337*$Q$2</f>
        <v>30</v>
      </c>
      <c r="L337" s="7" t="n">
        <f aca="false">K337/PI()</f>
        <v>9.54929658551372</v>
      </c>
      <c r="M337" s="8" t="n">
        <f aca="false">PI()*L337^2/40000</f>
        <v>0.00716197243913529</v>
      </c>
      <c r="N337" s="7" t="n">
        <f aca="false">F337*$Q$3</f>
        <v>10</v>
      </c>
      <c r="O337" s="3"/>
      <c r="P337" s="3"/>
      <c r="Q337" s="3"/>
    </row>
    <row r="338" customFormat="false" ht="15" hidden="false" customHeight="false" outlineLevel="0" collapsed="false">
      <c r="A338" s="2" t="s">
        <v>32</v>
      </c>
      <c r="B338" s="2" t="n">
        <v>4</v>
      </c>
      <c r="C338" s="2" t="n">
        <v>211</v>
      </c>
      <c r="D338" s="2" t="n">
        <v>2</v>
      </c>
      <c r="E338" s="2" t="n">
        <v>240</v>
      </c>
      <c r="F338" s="2" t="n">
        <v>100</v>
      </c>
      <c r="G338" s="2" t="s">
        <v>37</v>
      </c>
      <c r="H338" s="6" t="str">
        <f aca="false">A338&amp;"_"&amp;B338</f>
        <v>chauas_4</v>
      </c>
      <c r="I338" s="6" t="str">
        <f aca="false">H338&amp;"_"&amp;C338&amp;"_"&amp;G338</f>
        <v>chauas_4_211_Tabebuia cassinoides</v>
      </c>
      <c r="J338" s="6" t="n">
        <f aca="false">IF(COUNTIF($I$2:I338,I338)=1,1,0)</f>
        <v>0</v>
      </c>
      <c r="K338" s="6" t="n">
        <f aca="false">E338*$Q$2</f>
        <v>24</v>
      </c>
      <c r="L338" s="7" t="n">
        <f aca="false">K338/PI()</f>
        <v>7.63943726841098</v>
      </c>
      <c r="M338" s="8" t="n">
        <f aca="false">PI()*L338^2/40000</f>
        <v>0.00458366236104659</v>
      </c>
      <c r="N338" s="7" t="n">
        <f aca="false">F338*$Q$3</f>
        <v>10</v>
      </c>
      <c r="O338" s="3"/>
      <c r="P338" s="3"/>
      <c r="Q338" s="3"/>
    </row>
    <row r="339" customFormat="false" ht="15" hidden="false" customHeight="false" outlineLevel="0" collapsed="false">
      <c r="A339" s="2" t="s">
        <v>32</v>
      </c>
      <c r="B339" s="2" t="n">
        <v>4</v>
      </c>
      <c r="C339" s="2" t="n">
        <v>211</v>
      </c>
      <c r="D339" s="2" t="n">
        <v>3</v>
      </c>
      <c r="E339" s="2" t="n">
        <v>220</v>
      </c>
      <c r="F339" s="2" t="n">
        <v>100</v>
      </c>
      <c r="G339" s="2" t="s">
        <v>37</v>
      </c>
      <c r="H339" s="6" t="str">
        <f aca="false">A339&amp;"_"&amp;B339</f>
        <v>chauas_4</v>
      </c>
      <c r="I339" s="6" t="str">
        <f aca="false">H339&amp;"_"&amp;C339&amp;"_"&amp;G339</f>
        <v>chauas_4_211_Tabebuia cassinoides</v>
      </c>
      <c r="J339" s="6" t="n">
        <f aca="false">IF(COUNTIF($I$2:I339,I339)=1,1,0)</f>
        <v>0</v>
      </c>
      <c r="K339" s="6" t="n">
        <f aca="false">E339*$Q$2</f>
        <v>22</v>
      </c>
      <c r="L339" s="7" t="n">
        <f aca="false">K339/PI()</f>
        <v>7.0028174960434</v>
      </c>
      <c r="M339" s="8" t="n">
        <f aca="false">PI()*L339^2/40000</f>
        <v>0.00385154962282387</v>
      </c>
      <c r="N339" s="7" t="n">
        <f aca="false">F339*$Q$3</f>
        <v>10</v>
      </c>
      <c r="O339" s="3"/>
      <c r="P339" s="3"/>
      <c r="Q339" s="3"/>
    </row>
    <row r="340" customFormat="false" ht="15" hidden="false" customHeight="false" outlineLevel="0" collapsed="false">
      <c r="A340" s="2" t="s">
        <v>32</v>
      </c>
      <c r="B340" s="2" t="n">
        <v>4</v>
      </c>
      <c r="C340" s="2" t="n">
        <v>212</v>
      </c>
      <c r="D340" s="2" t="n">
        <v>1</v>
      </c>
      <c r="E340" s="2" t="n">
        <v>160</v>
      </c>
      <c r="F340" s="2" t="n">
        <v>50</v>
      </c>
      <c r="G340" s="2" t="s">
        <v>33</v>
      </c>
      <c r="H340" s="6" t="str">
        <f aca="false">A340&amp;"_"&amp;B340</f>
        <v>chauas_4</v>
      </c>
      <c r="I340" s="6" t="str">
        <f aca="false">H340&amp;"_"&amp;C340&amp;"_"&amp;G340</f>
        <v>chauas_4_212_Myrcia sulfiflora</v>
      </c>
      <c r="J340" s="6" t="n">
        <f aca="false">IF(COUNTIF($I$2:I340,I340)=1,1,0)</f>
        <v>1</v>
      </c>
      <c r="K340" s="6" t="n">
        <f aca="false">E340*$Q$2</f>
        <v>16</v>
      </c>
      <c r="L340" s="7" t="n">
        <f aca="false">K340/PI()</f>
        <v>5.09295817894065</v>
      </c>
      <c r="M340" s="8" t="n">
        <f aca="false">PI()*L340^2/40000</f>
        <v>0.00203718327157626</v>
      </c>
      <c r="N340" s="7" t="n">
        <f aca="false">F340*$Q$3</f>
        <v>5</v>
      </c>
      <c r="O340" s="3"/>
      <c r="P340" s="3"/>
      <c r="Q340" s="3"/>
    </row>
    <row r="341" customFormat="false" ht="15" hidden="false" customHeight="false" outlineLevel="0" collapsed="false">
      <c r="A341" s="2" t="s">
        <v>32</v>
      </c>
      <c r="B341" s="2" t="n">
        <v>4</v>
      </c>
      <c r="C341" s="2" t="n">
        <v>213</v>
      </c>
      <c r="D341" s="2" t="n">
        <v>1</v>
      </c>
      <c r="E341" s="2" t="n">
        <v>170</v>
      </c>
      <c r="F341" s="2" t="n">
        <v>70</v>
      </c>
      <c r="G341" s="2" t="s">
        <v>33</v>
      </c>
      <c r="H341" s="6" t="str">
        <f aca="false">A341&amp;"_"&amp;B341</f>
        <v>chauas_4</v>
      </c>
      <c r="I341" s="6" t="str">
        <f aca="false">H341&amp;"_"&amp;C341&amp;"_"&amp;G341</f>
        <v>chauas_4_213_Myrcia sulfiflora</v>
      </c>
      <c r="J341" s="6" t="n">
        <f aca="false">IF(COUNTIF($I$2:I341,I341)=1,1,0)</f>
        <v>1</v>
      </c>
      <c r="K341" s="6" t="n">
        <f aca="false">E341*$Q$2</f>
        <v>17</v>
      </c>
      <c r="L341" s="7" t="n">
        <f aca="false">K341/PI()</f>
        <v>5.41126806512444</v>
      </c>
      <c r="M341" s="8" t="n">
        <f aca="false">PI()*L341^2/40000</f>
        <v>0.00229978892767789</v>
      </c>
      <c r="N341" s="7" t="n">
        <f aca="false">F341*$Q$3</f>
        <v>7</v>
      </c>
      <c r="O341" s="3"/>
      <c r="P341" s="3"/>
      <c r="Q341" s="3"/>
    </row>
    <row r="342" customFormat="false" ht="15" hidden="false" customHeight="false" outlineLevel="0" collapsed="false">
      <c r="A342" s="2" t="s">
        <v>32</v>
      </c>
      <c r="B342" s="2" t="n">
        <v>4</v>
      </c>
      <c r="C342" s="2" t="n">
        <v>214</v>
      </c>
      <c r="D342" s="2" t="n">
        <v>1</v>
      </c>
      <c r="E342" s="2" t="n">
        <v>250</v>
      </c>
      <c r="F342" s="2" t="n">
        <v>80</v>
      </c>
      <c r="G342" s="2" t="s">
        <v>49</v>
      </c>
      <c r="H342" s="6" t="str">
        <f aca="false">A342&amp;"_"&amp;B342</f>
        <v>chauas_4</v>
      </c>
      <c r="I342" s="6" t="str">
        <f aca="false">H342&amp;"_"&amp;C342&amp;"_"&amp;G342</f>
        <v>chauas_4_214_indet.3</v>
      </c>
      <c r="J342" s="6" t="n">
        <f aca="false">IF(COUNTIF($I$2:I342,I342)=1,1,0)</f>
        <v>1</v>
      </c>
      <c r="K342" s="6" t="n">
        <f aca="false">E342*$Q$2</f>
        <v>25</v>
      </c>
      <c r="L342" s="7" t="n">
        <f aca="false">K342/PI()</f>
        <v>7.95774715459477</v>
      </c>
      <c r="M342" s="8" t="n">
        <f aca="false">PI()*L342^2/40000</f>
        <v>0.00497359197162173</v>
      </c>
      <c r="N342" s="7" t="n">
        <f aca="false">F342*$Q$3</f>
        <v>8</v>
      </c>
      <c r="O342" s="3"/>
      <c r="P342" s="3"/>
      <c r="Q342" s="3"/>
    </row>
    <row r="343" customFormat="false" ht="15" hidden="false" customHeight="false" outlineLevel="0" collapsed="false">
      <c r="A343" s="2" t="s">
        <v>32</v>
      </c>
      <c r="B343" s="2" t="n">
        <v>4</v>
      </c>
      <c r="C343" s="2" t="n">
        <v>215</v>
      </c>
      <c r="D343" s="2" t="n">
        <v>1</v>
      </c>
      <c r="E343" s="2" t="n">
        <v>260</v>
      </c>
      <c r="F343" s="2" t="n">
        <v>100</v>
      </c>
      <c r="G343" s="2" t="s">
        <v>33</v>
      </c>
      <c r="H343" s="6" t="str">
        <f aca="false">A343&amp;"_"&amp;B343</f>
        <v>chauas_4</v>
      </c>
      <c r="I343" s="6" t="str">
        <f aca="false">H343&amp;"_"&amp;C343&amp;"_"&amp;G343</f>
        <v>chauas_4_215_Myrcia sulfiflora</v>
      </c>
      <c r="J343" s="6" t="n">
        <f aca="false">IF(COUNTIF($I$2:I343,I343)=1,1,0)</f>
        <v>1</v>
      </c>
      <c r="K343" s="6" t="n">
        <f aca="false">E343*$Q$2</f>
        <v>26</v>
      </c>
      <c r="L343" s="7" t="n">
        <f aca="false">K343/PI()</f>
        <v>8.27605704077856</v>
      </c>
      <c r="M343" s="8" t="n">
        <f aca="false">PI()*L343^2/40000</f>
        <v>0.00537943707650606</v>
      </c>
      <c r="N343" s="7" t="n">
        <f aca="false">F343*$Q$3</f>
        <v>10</v>
      </c>
      <c r="O343" s="3"/>
      <c r="P343" s="3"/>
      <c r="Q343" s="3"/>
    </row>
    <row r="344" customFormat="false" ht="15" hidden="false" customHeight="false" outlineLevel="0" collapsed="false">
      <c r="A344" s="2" t="s">
        <v>32</v>
      </c>
      <c r="B344" s="2" t="n">
        <v>4</v>
      </c>
      <c r="C344" s="2" t="n">
        <v>216</v>
      </c>
      <c r="D344" s="2" t="n">
        <v>1</v>
      </c>
      <c r="E344" s="2" t="n">
        <v>260</v>
      </c>
      <c r="F344" s="2" t="n">
        <v>50</v>
      </c>
      <c r="G344" s="2" t="s">
        <v>37</v>
      </c>
      <c r="H344" s="6" t="str">
        <f aca="false">A344&amp;"_"&amp;B344</f>
        <v>chauas_4</v>
      </c>
      <c r="I344" s="6" t="str">
        <f aca="false">H344&amp;"_"&amp;C344&amp;"_"&amp;G344</f>
        <v>chauas_4_216_Tabebuia cassinoides</v>
      </c>
      <c r="J344" s="6" t="n">
        <f aca="false">IF(COUNTIF($I$2:I344,I344)=1,1,0)</f>
        <v>1</v>
      </c>
      <c r="K344" s="6" t="n">
        <f aca="false">E344*$Q$2</f>
        <v>26</v>
      </c>
      <c r="L344" s="7" t="n">
        <f aca="false">K344/PI()</f>
        <v>8.27605704077856</v>
      </c>
      <c r="M344" s="8" t="n">
        <f aca="false">PI()*L344^2/40000</f>
        <v>0.00537943707650606</v>
      </c>
      <c r="N344" s="7" t="n">
        <f aca="false">F344*$Q$3</f>
        <v>5</v>
      </c>
      <c r="O344" s="3"/>
      <c r="P344" s="3"/>
      <c r="Q344" s="3"/>
    </row>
    <row r="345" customFormat="false" ht="15" hidden="false" customHeight="false" outlineLevel="0" collapsed="false">
      <c r="A345" s="2" t="s">
        <v>32</v>
      </c>
      <c r="B345" s="2" t="n">
        <v>4</v>
      </c>
      <c r="C345" s="2" t="n">
        <v>216</v>
      </c>
      <c r="D345" s="2" t="n">
        <v>2</v>
      </c>
      <c r="E345" s="2" t="n">
        <v>280</v>
      </c>
      <c r="F345" s="2" t="n">
        <v>50</v>
      </c>
      <c r="G345" s="2" t="s">
        <v>37</v>
      </c>
      <c r="H345" s="6" t="str">
        <f aca="false">A345&amp;"_"&amp;B345</f>
        <v>chauas_4</v>
      </c>
      <c r="I345" s="6" t="str">
        <f aca="false">H345&amp;"_"&amp;C345&amp;"_"&amp;G345</f>
        <v>chauas_4_216_Tabebuia cassinoides</v>
      </c>
      <c r="J345" s="6" t="n">
        <f aca="false">IF(COUNTIF($I$2:I345,I345)=1,1,0)</f>
        <v>0</v>
      </c>
      <c r="K345" s="6" t="n">
        <f aca="false">E345*$Q$2</f>
        <v>28</v>
      </c>
      <c r="L345" s="7" t="n">
        <f aca="false">K345/PI()</f>
        <v>8.91267681314614</v>
      </c>
      <c r="M345" s="8" t="n">
        <f aca="false">PI()*L345^2/40000</f>
        <v>0.0062388737692023</v>
      </c>
      <c r="N345" s="7" t="n">
        <f aca="false">F345*$Q$3</f>
        <v>5</v>
      </c>
      <c r="O345" s="3"/>
      <c r="P345" s="3"/>
      <c r="Q345" s="3"/>
    </row>
    <row r="346" customFormat="false" ht="15" hidden="false" customHeight="false" outlineLevel="0" collapsed="false">
      <c r="A346" s="2" t="s">
        <v>32</v>
      </c>
      <c r="B346" s="2" t="n">
        <v>4</v>
      </c>
      <c r="C346" s="2" t="n">
        <v>217</v>
      </c>
      <c r="D346" s="2" t="n">
        <v>1</v>
      </c>
      <c r="E346" s="2" t="n">
        <v>460</v>
      </c>
      <c r="F346" s="2" t="n">
        <v>130</v>
      </c>
      <c r="G346" s="2" t="s">
        <v>33</v>
      </c>
      <c r="H346" s="6" t="str">
        <f aca="false">A346&amp;"_"&amp;B346</f>
        <v>chauas_4</v>
      </c>
      <c r="I346" s="6" t="str">
        <f aca="false">H346&amp;"_"&amp;C346&amp;"_"&amp;G346</f>
        <v>chauas_4_217_Myrcia sulfiflora</v>
      </c>
      <c r="J346" s="6" t="n">
        <f aca="false">IF(COUNTIF($I$2:I346,I346)=1,1,0)</f>
        <v>1</v>
      </c>
      <c r="K346" s="6" t="n">
        <f aca="false">E346*$Q$2</f>
        <v>46</v>
      </c>
      <c r="L346" s="7" t="n">
        <f aca="false">K346/PI()</f>
        <v>14.6422547644544</v>
      </c>
      <c r="M346" s="8" t="n">
        <f aca="false">PI()*L346^2/40000</f>
        <v>0.0168385929791225</v>
      </c>
      <c r="N346" s="7" t="n">
        <f aca="false">F346*$Q$3</f>
        <v>13</v>
      </c>
      <c r="O346" s="3"/>
      <c r="P346" s="3"/>
      <c r="Q346" s="3"/>
    </row>
    <row r="347" customFormat="false" ht="15" hidden="false" customHeight="false" outlineLevel="0" collapsed="false">
      <c r="A347" s="2" t="s">
        <v>32</v>
      </c>
      <c r="B347" s="2" t="n">
        <v>4</v>
      </c>
      <c r="C347" s="2" t="n">
        <v>218</v>
      </c>
      <c r="D347" s="2" t="n">
        <v>1</v>
      </c>
      <c r="E347" s="2" t="n">
        <v>280</v>
      </c>
      <c r="F347" s="2" t="n">
        <v>50</v>
      </c>
      <c r="G347" s="2" t="s">
        <v>37</v>
      </c>
      <c r="H347" s="6" t="str">
        <f aca="false">A347&amp;"_"&amp;B347</f>
        <v>chauas_4</v>
      </c>
      <c r="I347" s="6" t="str">
        <f aca="false">H347&amp;"_"&amp;C347&amp;"_"&amp;G347</f>
        <v>chauas_4_218_Tabebuia cassinoides</v>
      </c>
      <c r="J347" s="6" t="n">
        <f aca="false">IF(COUNTIF($I$2:I347,I347)=1,1,0)</f>
        <v>1</v>
      </c>
      <c r="K347" s="6" t="n">
        <f aca="false">E347*$Q$2</f>
        <v>28</v>
      </c>
      <c r="L347" s="7" t="n">
        <f aca="false">K347/PI()</f>
        <v>8.91267681314614</v>
      </c>
      <c r="M347" s="8" t="n">
        <f aca="false">PI()*L347^2/40000</f>
        <v>0.0062388737692023</v>
      </c>
      <c r="N347" s="7" t="n">
        <f aca="false">F347*$Q$3</f>
        <v>5</v>
      </c>
      <c r="O347" s="3"/>
      <c r="P347" s="3"/>
      <c r="Q347" s="3"/>
    </row>
    <row r="348" customFormat="false" ht="15" hidden="false" customHeight="false" outlineLevel="0" collapsed="false">
      <c r="A348" s="2" t="s">
        <v>32</v>
      </c>
      <c r="B348" s="2" t="n">
        <v>4</v>
      </c>
      <c r="C348" s="2" t="n">
        <v>218</v>
      </c>
      <c r="D348" s="2" t="n">
        <v>2</v>
      </c>
      <c r="E348" s="2" t="n">
        <v>160</v>
      </c>
      <c r="F348" s="2" t="n">
        <v>50</v>
      </c>
      <c r="G348" s="2" t="s">
        <v>37</v>
      </c>
      <c r="H348" s="6" t="str">
        <f aca="false">A348&amp;"_"&amp;B348</f>
        <v>chauas_4</v>
      </c>
      <c r="I348" s="6" t="str">
        <f aca="false">H348&amp;"_"&amp;C348&amp;"_"&amp;G348</f>
        <v>chauas_4_218_Tabebuia cassinoides</v>
      </c>
      <c r="J348" s="6" t="n">
        <f aca="false">IF(COUNTIF($I$2:I348,I348)=1,1,0)</f>
        <v>0</v>
      </c>
      <c r="K348" s="6" t="n">
        <f aca="false">E348*$Q$2</f>
        <v>16</v>
      </c>
      <c r="L348" s="7" t="n">
        <f aca="false">K348/PI()</f>
        <v>5.09295817894065</v>
      </c>
      <c r="M348" s="8" t="n">
        <f aca="false">PI()*L348^2/40000</f>
        <v>0.00203718327157626</v>
      </c>
      <c r="N348" s="7" t="n">
        <f aca="false">F348*$Q$3</f>
        <v>5</v>
      </c>
      <c r="O348" s="3"/>
      <c r="P348" s="3"/>
      <c r="Q348" s="3"/>
    </row>
    <row r="349" customFormat="false" ht="15" hidden="false" customHeight="false" outlineLevel="0" collapsed="false">
      <c r="A349" s="2" t="s">
        <v>32</v>
      </c>
      <c r="B349" s="2" t="n">
        <v>4</v>
      </c>
      <c r="C349" s="2" t="n">
        <v>219</v>
      </c>
      <c r="D349" s="2" t="n">
        <v>1</v>
      </c>
      <c r="E349" s="2" t="n">
        <v>200</v>
      </c>
      <c r="F349" s="2" t="n">
        <v>20</v>
      </c>
      <c r="G349" s="2" t="s">
        <v>37</v>
      </c>
      <c r="H349" s="6" t="str">
        <f aca="false">A349&amp;"_"&amp;B349</f>
        <v>chauas_4</v>
      </c>
      <c r="I349" s="6" t="str">
        <f aca="false">H349&amp;"_"&amp;C349&amp;"_"&amp;G349</f>
        <v>chauas_4_219_Tabebuia cassinoides</v>
      </c>
      <c r="J349" s="6" t="n">
        <f aca="false">IF(COUNTIF($I$2:I349,I349)=1,1,0)</f>
        <v>1</v>
      </c>
      <c r="K349" s="6" t="n">
        <f aca="false">E349*$Q$2</f>
        <v>20</v>
      </c>
      <c r="L349" s="7" t="n">
        <f aca="false">K349/PI()</f>
        <v>6.36619772367581</v>
      </c>
      <c r="M349" s="8" t="n">
        <f aca="false">PI()*L349^2/40000</f>
        <v>0.00318309886183791</v>
      </c>
      <c r="N349" s="7" t="n">
        <f aca="false">F349*$Q$3</f>
        <v>2</v>
      </c>
      <c r="O349" s="3"/>
      <c r="P349" s="3"/>
      <c r="Q349" s="3"/>
    </row>
    <row r="350" customFormat="false" ht="15" hidden="false" customHeight="false" outlineLevel="0" collapsed="false">
      <c r="A350" s="2" t="s">
        <v>32</v>
      </c>
      <c r="B350" s="2" t="n">
        <v>4</v>
      </c>
      <c r="C350" s="2" t="n">
        <v>219</v>
      </c>
      <c r="D350" s="2" t="n">
        <v>2</v>
      </c>
      <c r="E350" s="2" t="n">
        <v>160</v>
      </c>
      <c r="F350" s="2" t="n">
        <v>20</v>
      </c>
      <c r="G350" s="2" t="s">
        <v>37</v>
      </c>
      <c r="H350" s="6" t="str">
        <f aca="false">A350&amp;"_"&amp;B350</f>
        <v>chauas_4</v>
      </c>
      <c r="I350" s="6" t="str">
        <f aca="false">H350&amp;"_"&amp;C350&amp;"_"&amp;G350</f>
        <v>chauas_4_219_Tabebuia cassinoides</v>
      </c>
      <c r="J350" s="6" t="n">
        <f aca="false">IF(COUNTIF($I$2:I350,I350)=1,1,0)</f>
        <v>0</v>
      </c>
      <c r="K350" s="6" t="n">
        <f aca="false">E350*$Q$2</f>
        <v>16</v>
      </c>
      <c r="L350" s="7" t="n">
        <f aca="false">K350/PI()</f>
        <v>5.09295817894065</v>
      </c>
      <c r="M350" s="8" t="n">
        <f aca="false">PI()*L350^2/40000</f>
        <v>0.00203718327157626</v>
      </c>
      <c r="N350" s="7" t="n">
        <f aca="false">F350*$Q$3</f>
        <v>2</v>
      </c>
      <c r="O350" s="3"/>
      <c r="P350" s="3"/>
      <c r="Q350" s="3"/>
    </row>
    <row r="351" customFormat="false" ht="15" hidden="false" customHeight="false" outlineLevel="0" collapsed="false">
      <c r="A351" s="2" t="s">
        <v>32</v>
      </c>
      <c r="B351" s="2" t="n">
        <v>4</v>
      </c>
      <c r="C351" s="2" t="n">
        <v>220</v>
      </c>
      <c r="D351" s="2" t="n">
        <v>1</v>
      </c>
      <c r="E351" s="2" t="n">
        <v>450</v>
      </c>
      <c r="F351" s="2" t="n">
        <v>130</v>
      </c>
      <c r="G351" s="2" t="s">
        <v>37</v>
      </c>
      <c r="H351" s="6" t="str">
        <f aca="false">A351&amp;"_"&amp;B351</f>
        <v>chauas_4</v>
      </c>
      <c r="I351" s="6" t="str">
        <f aca="false">H351&amp;"_"&amp;C351&amp;"_"&amp;G351</f>
        <v>chauas_4_220_Tabebuia cassinoides</v>
      </c>
      <c r="J351" s="6" t="n">
        <f aca="false">IF(COUNTIF($I$2:I351,I351)=1,1,0)</f>
        <v>1</v>
      </c>
      <c r="K351" s="6" t="n">
        <f aca="false">E351*$Q$2</f>
        <v>45</v>
      </c>
      <c r="L351" s="7" t="n">
        <f aca="false">K351/PI()</f>
        <v>14.3239448782706</v>
      </c>
      <c r="M351" s="8" t="n">
        <f aca="false">PI()*L351^2/40000</f>
        <v>0.0161144379880544</v>
      </c>
      <c r="N351" s="7" t="n">
        <f aca="false">F351*$Q$3</f>
        <v>13</v>
      </c>
      <c r="O351" s="3"/>
      <c r="P351" s="3"/>
      <c r="Q351" s="3"/>
    </row>
    <row r="352" customFormat="false" ht="15" hidden="false" customHeight="false" outlineLevel="0" collapsed="false">
      <c r="A352" s="2" t="s">
        <v>32</v>
      </c>
      <c r="B352" s="2" t="n">
        <v>4</v>
      </c>
      <c r="C352" s="2" t="n">
        <v>221</v>
      </c>
      <c r="D352" s="2" t="n">
        <v>1</v>
      </c>
      <c r="E352" s="2" t="n">
        <v>210</v>
      </c>
      <c r="F352" s="2" t="n">
        <v>80</v>
      </c>
      <c r="G352" s="2" t="s">
        <v>37</v>
      </c>
      <c r="H352" s="6" t="str">
        <f aca="false">A352&amp;"_"&amp;B352</f>
        <v>chauas_4</v>
      </c>
      <c r="I352" s="6" t="str">
        <f aca="false">H352&amp;"_"&amp;C352&amp;"_"&amp;G352</f>
        <v>chauas_4_221_Tabebuia cassinoides</v>
      </c>
      <c r="J352" s="6" t="n">
        <f aca="false">IF(COUNTIF($I$2:I352,I352)=1,1,0)</f>
        <v>1</v>
      </c>
      <c r="K352" s="6" t="n">
        <f aca="false">E352*$Q$2</f>
        <v>21</v>
      </c>
      <c r="L352" s="7" t="n">
        <f aca="false">K352/PI()</f>
        <v>6.68450760985961</v>
      </c>
      <c r="M352" s="8" t="n">
        <f aca="false">PI()*L352^2/40000</f>
        <v>0.00350936649517629</v>
      </c>
      <c r="N352" s="7" t="n">
        <f aca="false">F352*$Q$3</f>
        <v>8</v>
      </c>
      <c r="O352" s="3"/>
      <c r="P352" s="3"/>
      <c r="Q352" s="3"/>
    </row>
    <row r="353" customFormat="false" ht="15" hidden="false" customHeight="false" outlineLevel="0" collapsed="false">
      <c r="A353" s="2" t="s">
        <v>32</v>
      </c>
      <c r="B353" s="2" t="n">
        <v>4</v>
      </c>
      <c r="C353" s="2" t="n">
        <v>222</v>
      </c>
      <c r="D353" s="2" t="n">
        <v>1</v>
      </c>
      <c r="E353" s="2" t="n">
        <v>220</v>
      </c>
      <c r="F353" s="2" t="n">
        <v>30</v>
      </c>
      <c r="G353" s="2" t="s">
        <v>37</v>
      </c>
      <c r="H353" s="6" t="str">
        <f aca="false">A353&amp;"_"&amp;B353</f>
        <v>chauas_4</v>
      </c>
      <c r="I353" s="6" t="str">
        <f aca="false">H353&amp;"_"&amp;C353&amp;"_"&amp;G353</f>
        <v>chauas_4_222_Tabebuia cassinoides</v>
      </c>
      <c r="J353" s="6" t="n">
        <f aca="false">IF(COUNTIF($I$2:I353,I353)=1,1,0)</f>
        <v>1</v>
      </c>
      <c r="K353" s="6" t="n">
        <f aca="false">E353*$Q$2</f>
        <v>22</v>
      </c>
      <c r="L353" s="7" t="n">
        <f aca="false">K353/PI()</f>
        <v>7.0028174960434</v>
      </c>
      <c r="M353" s="8" t="n">
        <f aca="false">PI()*L353^2/40000</f>
        <v>0.00385154962282387</v>
      </c>
      <c r="N353" s="7" t="n">
        <f aca="false">F353*$Q$3</f>
        <v>3</v>
      </c>
      <c r="O353" s="3"/>
      <c r="P353" s="3"/>
      <c r="Q353" s="3"/>
    </row>
    <row r="354" customFormat="false" ht="15" hidden="false" customHeight="false" outlineLevel="0" collapsed="false">
      <c r="A354" s="2" t="s">
        <v>32</v>
      </c>
      <c r="B354" s="2" t="n">
        <v>5</v>
      </c>
      <c r="C354" s="2" t="n">
        <v>223</v>
      </c>
      <c r="D354" s="2" t="n">
        <v>1</v>
      </c>
      <c r="E354" s="2" t="n">
        <v>350</v>
      </c>
      <c r="F354" s="2" t="n">
        <v>120</v>
      </c>
      <c r="G354" s="2" t="s">
        <v>37</v>
      </c>
      <c r="H354" s="6" t="str">
        <f aca="false">A354&amp;"_"&amp;B354</f>
        <v>chauas_5</v>
      </c>
      <c r="I354" s="6" t="str">
        <f aca="false">H354&amp;"_"&amp;C354&amp;"_"&amp;G354</f>
        <v>chauas_5_223_Tabebuia cassinoides</v>
      </c>
      <c r="J354" s="6" t="n">
        <f aca="false">IF(COUNTIF($I$2:I354,I354)=1,1,0)</f>
        <v>1</v>
      </c>
      <c r="K354" s="6" t="n">
        <f aca="false">E354*$Q$2</f>
        <v>35</v>
      </c>
      <c r="L354" s="7" t="n">
        <f aca="false">K354/PI()</f>
        <v>11.1408460164327</v>
      </c>
      <c r="M354" s="8" t="n">
        <f aca="false">PI()*L354^2/40000</f>
        <v>0.00974824026437859</v>
      </c>
      <c r="N354" s="7" t="n">
        <f aca="false">F354*$Q$3</f>
        <v>12</v>
      </c>
      <c r="O354" s="3"/>
      <c r="P354" s="3"/>
      <c r="Q354" s="3"/>
    </row>
    <row r="355" customFormat="false" ht="15" hidden="false" customHeight="false" outlineLevel="0" collapsed="false">
      <c r="A355" s="2" t="s">
        <v>32</v>
      </c>
      <c r="B355" s="2" t="n">
        <v>5</v>
      </c>
      <c r="C355" s="2" t="n">
        <v>224</v>
      </c>
      <c r="D355" s="2" t="n">
        <v>1</v>
      </c>
      <c r="E355" s="2" t="n">
        <v>360</v>
      </c>
      <c r="F355" s="2" t="n">
        <v>110</v>
      </c>
      <c r="G355" s="2" t="s">
        <v>37</v>
      </c>
      <c r="H355" s="6" t="str">
        <f aca="false">A355&amp;"_"&amp;B355</f>
        <v>chauas_5</v>
      </c>
      <c r="I355" s="6" t="str">
        <f aca="false">H355&amp;"_"&amp;C355&amp;"_"&amp;G355</f>
        <v>chauas_5_224_Tabebuia cassinoides</v>
      </c>
      <c r="J355" s="6" t="n">
        <f aca="false">IF(COUNTIF($I$2:I355,I355)=1,1,0)</f>
        <v>1</v>
      </c>
      <c r="K355" s="6" t="n">
        <f aca="false">E355*$Q$2</f>
        <v>36</v>
      </c>
      <c r="L355" s="7" t="n">
        <f aca="false">K355/PI()</f>
        <v>11.4591559026165</v>
      </c>
      <c r="M355" s="8" t="n">
        <f aca="false">PI()*L355^2/40000</f>
        <v>0.0103132403123548</v>
      </c>
      <c r="N355" s="7" t="n">
        <f aca="false">F355*$Q$3</f>
        <v>11</v>
      </c>
      <c r="O355" s="3"/>
      <c r="P355" s="3"/>
      <c r="Q355" s="3"/>
    </row>
    <row r="356" customFormat="false" ht="15" hidden="false" customHeight="false" outlineLevel="0" collapsed="false">
      <c r="A356" s="2" t="s">
        <v>32</v>
      </c>
      <c r="B356" s="2" t="n">
        <v>5</v>
      </c>
      <c r="C356" s="2" t="n">
        <v>225</v>
      </c>
      <c r="D356" s="2" t="n">
        <v>1</v>
      </c>
      <c r="E356" s="2" t="n">
        <v>570</v>
      </c>
      <c r="F356" s="2" t="n">
        <v>130</v>
      </c>
      <c r="G356" s="2" t="s">
        <v>37</v>
      </c>
      <c r="H356" s="6" t="str">
        <f aca="false">A356&amp;"_"&amp;B356</f>
        <v>chauas_5</v>
      </c>
      <c r="I356" s="6" t="str">
        <f aca="false">H356&amp;"_"&amp;C356&amp;"_"&amp;G356</f>
        <v>chauas_5_225_Tabebuia cassinoides</v>
      </c>
      <c r="J356" s="6" t="n">
        <f aca="false">IF(COUNTIF($I$2:I356,I356)=1,1,0)</f>
        <v>1</v>
      </c>
      <c r="K356" s="6" t="n">
        <f aca="false">E356*$Q$2</f>
        <v>57</v>
      </c>
      <c r="L356" s="7" t="n">
        <f aca="false">K356/PI()</f>
        <v>18.1436635124761</v>
      </c>
      <c r="M356" s="8" t="n">
        <f aca="false">PI()*L356^2/40000</f>
        <v>0.0258547205052784</v>
      </c>
      <c r="N356" s="7" t="n">
        <f aca="false">F356*$Q$3</f>
        <v>13</v>
      </c>
      <c r="O356" s="3"/>
      <c r="P356" s="3"/>
      <c r="Q356" s="3"/>
    </row>
    <row r="357" customFormat="false" ht="15" hidden="false" customHeight="false" outlineLevel="0" collapsed="false">
      <c r="A357" s="2" t="s">
        <v>32</v>
      </c>
      <c r="B357" s="2" t="n">
        <v>5</v>
      </c>
      <c r="C357" s="2" t="n">
        <v>226</v>
      </c>
      <c r="D357" s="2" t="n">
        <v>1</v>
      </c>
      <c r="E357" s="2" t="n">
        <v>280</v>
      </c>
      <c r="F357" s="2" t="n">
        <v>70</v>
      </c>
      <c r="G357" s="2" t="s">
        <v>33</v>
      </c>
      <c r="H357" s="6" t="str">
        <f aca="false">A357&amp;"_"&amp;B357</f>
        <v>chauas_5</v>
      </c>
      <c r="I357" s="6" t="str">
        <f aca="false">H357&amp;"_"&amp;C357&amp;"_"&amp;G357</f>
        <v>chauas_5_226_Myrcia sulfiflora</v>
      </c>
      <c r="J357" s="6" t="n">
        <f aca="false">IF(COUNTIF($I$2:I357,I357)=1,1,0)</f>
        <v>1</v>
      </c>
      <c r="K357" s="6" t="n">
        <f aca="false">E357*$Q$2</f>
        <v>28</v>
      </c>
      <c r="L357" s="7" t="n">
        <f aca="false">K357/PI()</f>
        <v>8.91267681314614</v>
      </c>
      <c r="M357" s="8" t="n">
        <f aca="false">PI()*L357^2/40000</f>
        <v>0.0062388737692023</v>
      </c>
      <c r="N357" s="7" t="n">
        <f aca="false">F357*$Q$3</f>
        <v>7</v>
      </c>
      <c r="O357" s="3"/>
      <c r="P357" s="3"/>
      <c r="Q357" s="3"/>
    </row>
    <row r="358" customFormat="false" ht="15" hidden="false" customHeight="false" outlineLevel="0" collapsed="false">
      <c r="A358" s="2" t="s">
        <v>32</v>
      </c>
      <c r="B358" s="2" t="n">
        <v>5</v>
      </c>
      <c r="C358" s="2" t="n">
        <v>227</v>
      </c>
      <c r="D358" s="2" t="n">
        <v>1</v>
      </c>
      <c r="E358" s="2" t="n">
        <v>230</v>
      </c>
      <c r="F358" s="2" t="n">
        <v>50</v>
      </c>
      <c r="G358" s="2" t="s">
        <v>33</v>
      </c>
      <c r="H358" s="6" t="str">
        <f aca="false">A358&amp;"_"&amp;B358</f>
        <v>chauas_5</v>
      </c>
      <c r="I358" s="6" t="str">
        <f aca="false">H358&amp;"_"&amp;C358&amp;"_"&amp;G358</f>
        <v>chauas_5_227_Myrcia sulfiflora</v>
      </c>
      <c r="J358" s="6" t="n">
        <f aca="false">IF(COUNTIF($I$2:I358,I358)=1,1,0)</f>
        <v>1</v>
      </c>
      <c r="K358" s="6" t="n">
        <f aca="false">E358*$Q$2</f>
        <v>23</v>
      </c>
      <c r="L358" s="7" t="n">
        <f aca="false">K358/PI()</f>
        <v>7.32112738222719</v>
      </c>
      <c r="M358" s="8" t="n">
        <f aca="false">PI()*L358^2/40000</f>
        <v>0.00420964824478063</v>
      </c>
      <c r="N358" s="7" t="n">
        <f aca="false">F358*$Q$3</f>
        <v>5</v>
      </c>
      <c r="O358" s="3"/>
      <c r="P358" s="3"/>
      <c r="Q358" s="3"/>
    </row>
    <row r="359" customFormat="false" ht="15" hidden="false" customHeight="false" outlineLevel="0" collapsed="false">
      <c r="A359" s="2" t="s">
        <v>32</v>
      </c>
      <c r="B359" s="2" t="n">
        <v>5</v>
      </c>
      <c r="C359" s="2" t="n">
        <v>228</v>
      </c>
      <c r="D359" s="2" t="n">
        <v>1</v>
      </c>
      <c r="E359" s="2" t="n">
        <v>260</v>
      </c>
      <c r="F359" s="2" t="n">
        <v>90</v>
      </c>
      <c r="G359" s="2" t="s">
        <v>37</v>
      </c>
      <c r="H359" s="6" t="str">
        <f aca="false">A359&amp;"_"&amp;B359</f>
        <v>chauas_5</v>
      </c>
      <c r="I359" s="6" t="str">
        <f aca="false">H359&amp;"_"&amp;C359&amp;"_"&amp;G359</f>
        <v>chauas_5_228_Tabebuia cassinoides</v>
      </c>
      <c r="J359" s="6" t="n">
        <f aca="false">IF(COUNTIF($I$2:I359,I359)=1,1,0)</f>
        <v>1</v>
      </c>
      <c r="K359" s="6" t="n">
        <f aca="false">E359*$Q$2</f>
        <v>26</v>
      </c>
      <c r="L359" s="7" t="n">
        <f aca="false">K359/PI()</f>
        <v>8.27605704077856</v>
      </c>
      <c r="M359" s="8" t="n">
        <f aca="false">PI()*L359^2/40000</f>
        <v>0.00537943707650606</v>
      </c>
      <c r="N359" s="7" t="n">
        <f aca="false">F359*$Q$3</f>
        <v>9</v>
      </c>
      <c r="O359" s="3"/>
      <c r="P359" s="3"/>
      <c r="Q359" s="3"/>
    </row>
    <row r="360" customFormat="false" ht="15" hidden="false" customHeight="false" outlineLevel="0" collapsed="false">
      <c r="A360" s="2" t="s">
        <v>32</v>
      </c>
      <c r="B360" s="2" t="n">
        <v>5</v>
      </c>
      <c r="C360" s="2" t="n">
        <v>229</v>
      </c>
      <c r="D360" s="2" t="n">
        <v>1</v>
      </c>
      <c r="E360" s="2" t="n">
        <v>180</v>
      </c>
      <c r="F360" s="2" t="n">
        <v>40</v>
      </c>
      <c r="G360" s="2" t="s">
        <v>33</v>
      </c>
      <c r="H360" s="6" t="str">
        <f aca="false">A360&amp;"_"&amp;B360</f>
        <v>chauas_5</v>
      </c>
      <c r="I360" s="6" t="str">
        <f aca="false">H360&amp;"_"&amp;C360&amp;"_"&amp;G360</f>
        <v>chauas_5_229_Myrcia sulfiflora</v>
      </c>
      <c r="J360" s="6" t="n">
        <f aca="false">IF(COUNTIF($I$2:I360,I360)=1,1,0)</f>
        <v>1</v>
      </c>
      <c r="K360" s="6" t="n">
        <f aca="false">E360*$Q$2</f>
        <v>18</v>
      </c>
      <c r="L360" s="7" t="n">
        <f aca="false">K360/PI()</f>
        <v>5.72957795130823</v>
      </c>
      <c r="M360" s="8" t="n">
        <f aca="false">PI()*L360^2/40000</f>
        <v>0.0025783100780887</v>
      </c>
      <c r="N360" s="7" t="n">
        <f aca="false">F360*$Q$3</f>
        <v>4</v>
      </c>
      <c r="O360" s="3"/>
      <c r="P360" s="3"/>
      <c r="Q360" s="3"/>
    </row>
    <row r="361" customFormat="false" ht="15" hidden="false" customHeight="false" outlineLevel="0" collapsed="false">
      <c r="A361" s="2" t="s">
        <v>32</v>
      </c>
      <c r="B361" s="2" t="n">
        <v>5</v>
      </c>
      <c r="C361" s="2" t="n">
        <v>230</v>
      </c>
      <c r="D361" s="2" t="n">
        <v>1</v>
      </c>
      <c r="E361" s="2" t="n">
        <v>530</v>
      </c>
      <c r="F361" s="2" t="n">
        <v>120</v>
      </c>
      <c r="G361" s="2" t="s">
        <v>37</v>
      </c>
      <c r="H361" s="6" t="str">
        <f aca="false">A361&amp;"_"&amp;B361</f>
        <v>chauas_5</v>
      </c>
      <c r="I361" s="6" t="str">
        <f aca="false">H361&amp;"_"&amp;C361&amp;"_"&amp;G361</f>
        <v>chauas_5_230_Tabebuia cassinoides</v>
      </c>
      <c r="J361" s="6" t="n">
        <f aca="false">IF(COUNTIF($I$2:I361,I361)=1,1,0)</f>
        <v>1</v>
      </c>
      <c r="K361" s="6" t="n">
        <f aca="false">E361*$Q$2</f>
        <v>53</v>
      </c>
      <c r="L361" s="7" t="n">
        <f aca="false">K361/PI()</f>
        <v>16.8704239677409</v>
      </c>
      <c r="M361" s="8" t="n">
        <f aca="false">PI()*L361^2/40000</f>
        <v>0.0223533117572567</v>
      </c>
      <c r="N361" s="7" t="n">
        <f aca="false">F361*$Q$3</f>
        <v>12</v>
      </c>
      <c r="O361" s="3"/>
      <c r="P361" s="3"/>
      <c r="Q361" s="3"/>
    </row>
    <row r="362" customFormat="false" ht="15" hidden="false" customHeight="false" outlineLevel="0" collapsed="false">
      <c r="A362" s="2" t="s">
        <v>32</v>
      </c>
      <c r="B362" s="2" t="n">
        <v>5</v>
      </c>
      <c r="C362" s="2" t="n">
        <v>231</v>
      </c>
      <c r="D362" s="2" t="n">
        <v>1</v>
      </c>
      <c r="E362" s="2" t="n">
        <v>330</v>
      </c>
      <c r="F362" s="2" t="n">
        <v>40</v>
      </c>
      <c r="G362" s="2" t="s">
        <v>37</v>
      </c>
      <c r="H362" s="6" t="str">
        <f aca="false">A362&amp;"_"&amp;B362</f>
        <v>chauas_5</v>
      </c>
      <c r="I362" s="6" t="str">
        <f aca="false">H362&amp;"_"&amp;C362&amp;"_"&amp;G362</f>
        <v>chauas_5_231_Tabebuia cassinoides</v>
      </c>
      <c r="J362" s="6" t="n">
        <f aca="false">IF(COUNTIF($I$2:I362,I362)=1,1,0)</f>
        <v>1</v>
      </c>
      <c r="K362" s="6" t="n">
        <f aca="false">E362*$Q$2</f>
        <v>33</v>
      </c>
      <c r="L362" s="7" t="n">
        <f aca="false">K362/PI()</f>
        <v>10.5042262440651</v>
      </c>
      <c r="M362" s="8" t="n">
        <f aca="false">PI()*L362^2/40000</f>
        <v>0.0086659866513537</v>
      </c>
      <c r="N362" s="7" t="n">
        <f aca="false">F362*$Q$3</f>
        <v>4</v>
      </c>
      <c r="O362" s="3"/>
      <c r="P362" s="3"/>
      <c r="Q362" s="3"/>
    </row>
    <row r="363" customFormat="false" ht="15" hidden="false" customHeight="false" outlineLevel="0" collapsed="false">
      <c r="A363" s="2" t="s">
        <v>32</v>
      </c>
      <c r="B363" s="2" t="n">
        <v>5</v>
      </c>
      <c r="C363" s="2" t="n">
        <v>232</v>
      </c>
      <c r="D363" s="2" t="n">
        <v>1</v>
      </c>
      <c r="E363" s="2" t="n">
        <v>130</v>
      </c>
      <c r="F363" s="2" t="n">
        <v>480</v>
      </c>
      <c r="G363" s="2" t="s">
        <v>37</v>
      </c>
      <c r="H363" s="6" t="str">
        <f aca="false">A363&amp;"_"&amp;B363</f>
        <v>chauas_5</v>
      </c>
      <c r="I363" s="6" t="str">
        <f aca="false">H363&amp;"_"&amp;C363&amp;"_"&amp;G363</f>
        <v>chauas_5_232_Tabebuia cassinoides</v>
      </c>
      <c r="J363" s="6" t="n">
        <f aca="false">IF(COUNTIF($I$2:I363,I363)=1,1,0)</f>
        <v>1</v>
      </c>
      <c r="K363" s="6" t="n">
        <f aca="false">E363*$Q$2</f>
        <v>13</v>
      </c>
      <c r="L363" s="7" t="n">
        <f aca="false">K363/PI()</f>
        <v>4.13802852038928</v>
      </c>
      <c r="M363" s="8" t="n">
        <f aca="false">PI()*L363^2/40000</f>
        <v>0.00134485926912652</v>
      </c>
      <c r="N363" s="7" t="n">
        <f aca="false">F363*$Q$3</f>
        <v>48</v>
      </c>
      <c r="O363" s="3"/>
      <c r="P363" s="3"/>
      <c r="Q363" s="3"/>
    </row>
    <row r="364" customFormat="false" ht="15" hidden="false" customHeight="false" outlineLevel="0" collapsed="false">
      <c r="A364" s="2" t="s">
        <v>32</v>
      </c>
      <c r="B364" s="2" t="n">
        <v>5</v>
      </c>
      <c r="C364" s="2" t="n">
        <v>233</v>
      </c>
      <c r="D364" s="2" t="n">
        <v>1</v>
      </c>
      <c r="E364" s="2" t="n">
        <v>340</v>
      </c>
      <c r="F364" s="2" t="n">
        <v>70</v>
      </c>
      <c r="G364" s="2" t="s">
        <v>37</v>
      </c>
      <c r="H364" s="6" t="str">
        <f aca="false">A364&amp;"_"&amp;B364</f>
        <v>chauas_5</v>
      </c>
      <c r="I364" s="6" t="str">
        <f aca="false">H364&amp;"_"&amp;C364&amp;"_"&amp;G364</f>
        <v>chauas_5_233_Tabebuia cassinoides</v>
      </c>
      <c r="J364" s="6" t="n">
        <f aca="false">IF(COUNTIF($I$2:I364,I364)=1,1,0)</f>
        <v>1</v>
      </c>
      <c r="K364" s="6" t="n">
        <f aca="false">E364*$Q$2</f>
        <v>34</v>
      </c>
      <c r="L364" s="7" t="n">
        <f aca="false">K364/PI()</f>
        <v>10.8225361302489</v>
      </c>
      <c r="M364" s="8" t="n">
        <f aca="false">PI()*L364^2/40000</f>
        <v>0.00919915571071155</v>
      </c>
      <c r="N364" s="7" t="n">
        <f aca="false">F364*$Q$3</f>
        <v>7</v>
      </c>
      <c r="O364" s="3"/>
      <c r="P364" s="3"/>
      <c r="Q364" s="3"/>
    </row>
    <row r="365" customFormat="false" ht="15" hidden="false" customHeight="false" outlineLevel="0" collapsed="false">
      <c r="A365" s="2" t="s">
        <v>32</v>
      </c>
      <c r="B365" s="2" t="n">
        <v>5</v>
      </c>
      <c r="C365" s="2" t="n">
        <v>234</v>
      </c>
      <c r="D365" s="2" t="n">
        <v>1</v>
      </c>
      <c r="E365" s="2" t="n">
        <v>200</v>
      </c>
      <c r="F365" s="2" t="n">
        <v>60</v>
      </c>
      <c r="G365" s="2" t="s">
        <v>33</v>
      </c>
      <c r="H365" s="6" t="str">
        <f aca="false">A365&amp;"_"&amp;B365</f>
        <v>chauas_5</v>
      </c>
      <c r="I365" s="6" t="str">
        <f aca="false">H365&amp;"_"&amp;C365&amp;"_"&amp;G365</f>
        <v>chauas_5_234_Myrcia sulfiflora</v>
      </c>
      <c r="J365" s="6" t="n">
        <f aca="false">IF(COUNTIF($I$2:I365,I365)=1,1,0)</f>
        <v>1</v>
      </c>
      <c r="K365" s="6" t="n">
        <f aca="false">E365*$Q$2</f>
        <v>20</v>
      </c>
      <c r="L365" s="7" t="n">
        <f aca="false">K365/PI()</f>
        <v>6.36619772367581</v>
      </c>
      <c r="M365" s="8" t="n">
        <f aca="false">PI()*L365^2/40000</f>
        <v>0.00318309886183791</v>
      </c>
      <c r="N365" s="7" t="n">
        <f aca="false">F365*$Q$3</f>
        <v>6</v>
      </c>
      <c r="O365" s="3"/>
      <c r="P365" s="3"/>
      <c r="Q365" s="3"/>
    </row>
    <row r="366" customFormat="false" ht="15" hidden="false" customHeight="false" outlineLevel="0" collapsed="false">
      <c r="A366" s="2" t="s">
        <v>32</v>
      </c>
      <c r="B366" s="2" t="n">
        <v>5</v>
      </c>
      <c r="C366" s="2" t="n">
        <v>235</v>
      </c>
      <c r="D366" s="2" t="n">
        <v>1</v>
      </c>
      <c r="E366" s="2" t="n">
        <v>400</v>
      </c>
      <c r="F366" s="2" t="n">
        <v>90</v>
      </c>
      <c r="G366" s="2" t="s">
        <v>37</v>
      </c>
      <c r="H366" s="6" t="str">
        <f aca="false">A366&amp;"_"&amp;B366</f>
        <v>chauas_5</v>
      </c>
      <c r="I366" s="6" t="str">
        <f aca="false">H366&amp;"_"&amp;C366&amp;"_"&amp;G366</f>
        <v>chauas_5_235_Tabebuia cassinoides</v>
      </c>
      <c r="J366" s="6" t="n">
        <f aca="false">IF(COUNTIF($I$2:I366,I366)=1,1,0)</f>
        <v>1</v>
      </c>
      <c r="K366" s="6" t="n">
        <f aca="false">E366*$Q$2</f>
        <v>40</v>
      </c>
      <c r="L366" s="7" t="n">
        <f aca="false">K366/PI()</f>
        <v>12.7323954473516</v>
      </c>
      <c r="M366" s="8" t="n">
        <f aca="false">PI()*L366^2/40000</f>
        <v>0.0127323954473516</v>
      </c>
      <c r="N366" s="7" t="n">
        <f aca="false">F366*$Q$3</f>
        <v>9</v>
      </c>
      <c r="O366" s="3"/>
      <c r="P366" s="3"/>
      <c r="Q366" s="3"/>
    </row>
    <row r="367" customFormat="false" ht="15" hidden="false" customHeight="false" outlineLevel="0" collapsed="false">
      <c r="A367" s="2" t="s">
        <v>32</v>
      </c>
      <c r="B367" s="2" t="n">
        <v>5</v>
      </c>
      <c r="C367" s="2" t="n">
        <v>236</v>
      </c>
      <c r="D367" s="2" t="n">
        <v>1</v>
      </c>
      <c r="E367" s="2" t="n">
        <v>290</v>
      </c>
      <c r="F367" s="2" t="n">
        <v>100</v>
      </c>
      <c r="G367" s="2" t="s">
        <v>37</v>
      </c>
      <c r="H367" s="6" t="str">
        <f aca="false">A367&amp;"_"&amp;B367</f>
        <v>chauas_5</v>
      </c>
      <c r="I367" s="6" t="str">
        <f aca="false">H367&amp;"_"&amp;C367&amp;"_"&amp;G367</f>
        <v>chauas_5_236_Tabebuia cassinoides</v>
      </c>
      <c r="J367" s="6" t="n">
        <f aca="false">IF(COUNTIF($I$2:I367,I367)=1,1,0)</f>
        <v>1</v>
      </c>
      <c r="K367" s="6" t="n">
        <f aca="false">E367*$Q$2</f>
        <v>29</v>
      </c>
      <c r="L367" s="7" t="n">
        <f aca="false">K367/PI()</f>
        <v>9.23098669932993</v>
      </c>
      <c r="M367" s="8" t="n">
        <f aca="false">PI()*L367^2/40000</f>
        <v>0.0066924653570142</v>
      </c>
      <c r="N367" s="7" t="n">
        <f aca="false">F367*$Q$3</f>
        <v>10</v>
      </c>
      <c r="O367" s="3"/>
      <c r="P367" s="3"/>
      <c r="Q367" s="3"/>
    </row>
    <row r="368" customFormat="false" ht="15" hidden="false" customHeight="false" outlineLevel="0" collapsed="false">
      <c r="A368" s="2" t="s">
        <v>32</v>
      </c>
      <c r="B368" s="2" t="n">
        <v>5</v>
      </c>
      <c r="C368" s="2" t="n">
        <v>237</v>
      </c>
      <c r="D368" s="2" t="n">
        <v>1</v>
      </c>
      <c r="E368" s="2" t="n">
        <v>290</v>
      </c>
      <c r="F368" s="2" t="n">
        <v>60</v>
      </c>
      <c r="G368" s="2" t="s">
        <v>37</v>
      </c>
      <c r="H368" s="6" t="str">
        <f aca="false">A368&amp;"_"&amp;B368</f>
        <v>chauas_5</v>
      </c>
      <c r="I368" s="6" t="str">
        <f aca="false">H368&amp;"_"&amp;C368&amp;"_"&amp;G368</f>
        <v>chauas_5_237_Tabebuia cassinoides</v>
      </c>
      <c r="J368" s="6" t="n">
        <f aca="false">IF(COUNTIF($I$2:I368,I368)=1,1,0)</f>
        <v>1</v>
      </c>
      <c r="K368" s="6" t="n">
        <f aca="false">E368*$Q$2</f>
        <v>29</v>
      </c>
      <c r="L368" s="7" t="n">
        <f aca="false">K368/PI()</f>
        <v>9.23098669932993</v>
      </c>
      <c r="M368" s="8" t="n">
        <f aca="false">PI()*L368^2/40000</f>
        <v>0.0066924653570142</v>
      </c>
      <c r="N368" s="7" t="n">
        <f aca="false">F368*$Q$3</f>
        <v>6</v>
      </c>
      <c r="O368" s="3"/>
      <c r="P368" s="3"/>
      <c r="Q368" s="3"/>
    </row>
    <row r="369" customFormat="false" ht="15" hidden="false" customHeight="false" outlineLevel="0" collapsed="false">
      <c r="A369" s="2" t="s">
        <v>32</v>
      </c>
      <c r="B369" s="2" t="n">
        <v>5</v>
      </c>
      <c r="C369" s="2" t="n">
        <v>238</v>
      </c>
      <c r="D369" s="2" t="n">
        <v>1</v>
      </c>
      <c r="E369" s="2" t="n">
        <v>310</v>
      </c>
      <c r="F369" s="2" t="n">
        <v>110</v>
      </c>
      <c r="G369" s="2" t="s">
        <v>37</v>
      </c>
      <c r="H369" s="6" t="str">
        <f aca="false">A369&amp;"_"&amp;B369</f>
        <v>chauas_5</v>
      </c>
      <c r="I369" s="6" t="str">
        <f aca="false">H369&amp;"_"&amp;C369&amp;"_"&amp;G369</f>
        <v>chauas_5_238_Tabebuia cassinoides</v>
      </c>
      <c r="J369" s="6" t="n">
        <f aca="false">IF(COUNTIF($I$2:I369,I369)=1,1,0)</f>
        <v>1</v>
      </c>
      <c r="K369" s="6" t="n">
        <f aca="false">E369*$Q$2</f>
        <v>31</v>
      </c>
      <c r="L369" s="7" t="n">
        <f aca="false">K369/PI()</f>
        <v>9.86760647169751</v>
      </c>
      <c r="M369" s="8" t="n">
        <f aca="false">PI()*L369^2/40000</f>
        <v>0.00764739501556557</v>
      </c>
      <c r="N369" s="7" t="n">
        <f aca="false">F369*$Q$3</f>
        <v>11</v>
      </c>
      <c r="O369" s="3"/>
      <c r="P369" s="3"/>
      <c r="Q369" s="3"/>
    </row>
    <row r="370" customFormat="false" ht="15" hidden="false" customHeight="false" outlineLevel="0" collapsed="false">
      <c r="A370" s="2" t="s">
        <v>32</v>
      </c>
      <c r="B370" s="2" t="n">
        <v>5</v>
      </c>
      <c r="C370" s="2" t="n">
        <v>239</v>
      </c>
      <c r="D370" s="2" t="n">
        <v>1</v>
      </c>
      <c r="E370" s="2" t="n">
        <v>200</v>
      </c>
      <c r="F370" s="2" t="n">
        <v>50</v>
      </c>
      <c r="G370" s="2" t="s">
        <v>33</v>
      </c>
      <c r="H370" s="6" t="str">
        <f aca="false">A370&amp;"_"&amp;B370</f>
        <v>chauas_5</v>
      </c>
      <c r="I370" s="6" t="str">
        <f aca="false">H370&amp;"_"&amp;C370&amp;"_"&amp;G370</f>
        <v>chauas_5_239_Myrcia sulfiflora</v>
      </c>
      <c r="J370" s="6" t="n">
        <f aca="false">IF(COUNTIF($I$2:I370,I370)=1,1,0)</f>
        <v>1</v>
      </c>
      <c r="K370" s="6" t="n">
        <f aca="false">E370*$Q$2</f>
        <v>20</v>
      </c>
      <c r="L370" s="7" t="n">
        <f aca="false">K370/PI()</f>
        <v>6.36619772367581</v>
      </c>
      <c r="M370" s="8" t="n">
        <f aca="false">PI()*L370^2/40000</f>
        <v>0.00318309886183791</v>
      </c>
      <c r="N370" s="7" t="n">
        <f aca="false">F370*$Q$3</f>
        <v>5</v>
      </c>
      <c r="O370" s="3"/>
      <c r="P370" s="3"/>
      <c r="Q370" s="3"/>
    </row>
    <row r="371" customFormat="false" ht="15" hidden="false" customHeight="false" outlineLevel="0" collapsed="false">
      <c r="A371" s="2" t="s">
        <v>32</v>
      </c>
      <c r="B371" s="2" t="n">
        <v>5</v>
      </c>
      <c r="C371" s="2" t="n">
        <v>240</v>
      </c>
      <c r="D371" s="2" t="n">
        <v>1</v>
      </c>
      <c r="E371" s="2" t="n">
        <v>450</v>
      </c>
      <c r="F371" s="2" t="n">
        <v>140</v>
      </c>
      <c r="G371" s="2" t="s">
        <v>37</v>
      </c>
      <c r="H371" s="6" t="str">
        <f aca="false">A371&amp;"_"&amp;B371</f>
        <v>chauas_5</v>
      </c>
      <c r="I371" s="6" t="str">
        <f aca="false">H371&amp;"_"&amp;C371&amp;"_"&amp;G371</f>
        <v>chauas_5_240_Tabebuia cassinoides</v>
      </c>
      <c r="J371" s="6" t="n">
        <f aca="false">IF(COUNTIF($I$2:I371,I371)=1,1,0)</f>
        <v>1</v>
      </c>
      <c r="K371" s="6" t="n">
        <f aca="false">E371*$Q$2</f>
        <v>45</v>
      </c>
      <c r="L371" s="7" t="n">
        <f aca="false">K371/PI()</f>
        <v>14.3239448782706</v>
      </c>
      <c r="M371" s="8" t="n">
        <f aca="false">PI()*L371^2/40000</f>
        <v>0.0161144379880544</v>
      </c>
      <c r="N371" s="7" t="n">
        <f aca="false">F371*$Q$3</f>
        <v>14</v>
      </c>
      <c r="O371" s="3"/>
      <c r="P371" s="3"/>
      <c r="Q371" s="3"/>
    </row>
    <row r="372" customFormat="false" ht="15" hidden="false" customHeight="false" outlineLevel="0" collapsed="false">
      <c r="A372" s="2" t="s">
        <v>32</v>
      </c>
      <c r="B372" s="2" t="n">
        <v>5</v>
      </c>
      <c r="C372" s="2" t="n">
        <v>241</v>
      </c>
      <c r="D372" s="2" t="n">
        <v>1</v>
      </c>
      <c r="E372" s="2" t="n">
        <v>350</v>
      </c>
      <c r="F372" s="2" t="n">
        <v>100</v>
      </c>
      <c r="G372" s="2" t="s">
        <v>37</v>
      </c>
      <c r="H372" s="6" t="str">
        <f aca="false">A372&amp;"_"&amp;B372</f>
        <v>chauas_5</v>
      </c>
      <c r="I372" s="6" t="str">
        <f aca="false">H372&amp;"_"&amp;C372&amp;"_"&amp;G372</f>
        <v>chauas_5_241_Tabebuia cassinoides</v>
      </c>
      <c r="J372" s="6" t="n">
        <f aca="false">IF(COUNTIF($I$2:I372,I372)=1,1,0)</f>
        <v>1</v>
      </c>
      <c r="K372" s="6" t="n">
        <f aca="false">E372*$Q$2</f>
        <v>35</v>
      </c>
      <c r="L372" s="7" t="n">
        <f aca="false">K372/PI()</f>
        <v>11.1408460164327</v>
      </c>
      <c r="M372" s="8" t="n">
        <f aca="false">PI()*L372^2/40000</f>
        <v>0.00974824026437859</v>
      </c>
      <c r="N372" s="7" t="n">
        <f aca="false">F372*$Q$3</f>
        <v>10</v>
      </c>
      <c r="O372" s="3"/>
      <c r="P372" s="3"/>
      <c r="Q372" s="3"/>
    </row>
    <row r="373" customFormat="false" ht="15" hidden="false" customHeight="false" outlineLevel="0" collapsed="false">
      <c r="A373" s="2" t="s">
        <v>32</v>
      </c>
      <c r="B373" s="2" t="n">
        <v>5</v>
      </c>
      <c r="C373" s="2" t="n">
        <v>242</v>
      </c>
      <c r="D373" s="2" t="n">
        <v>1</v>
      </c>
      <c r="E373" s="2" t="n">
        <v>510</v>
      </c>
      <c r="F373" s="2" t="n">
        <v>140</v>
      </c>
      <c r="G373" s="2" t="s">
        <v>37</v>
      </c>
      <c r="H373" s="6" t="str">
        <f aca="false">A373&amp;"_"&amp;B373</f>
        <v>chauas_5</v>
      </c>
      <c r="I373" s="6" t="str">
        <f aca="false">H373&amp;"_"&amp;C373&amp;"_"&amp;G373</f>
        <v>chauas_5_242_Tabebuia cassinoides</v>
      </c>
      <c r="J373" s="6" t="n">
        <f aca="false">IF(COUNTIF($I$2:I373,I373)=1,1,0)</f>
        <v>1</v>
      </c>
      <c r="K373" s="6" t="n">
        <f aca="false">E373*$Q$2</f>
        <v>51</v>
      </c>
      <c r="L373" s="7" t="n">
        <f aca="false">K373/PI()</f>
        <v>16.2338041953733</v>
      </c>
      <c r="M373" s="8" t="n">
        <f aca="false">PI()*L373^2/40000</f>
        <v>0.020698100349101</v>
      </c>
      <c r="N373" s="7" t="n">
        <f aca="false">F373*$Q$3</f>
        <v>14</v>
      </c>
      <c r="O373" s="3"/>
      <c r="P373" s="3"/>
      <c r="Q373" s="3"/>
    </row>
    <row r="374" customFormat="false" ht="15" hidden="false" customHeight="false" outlineLevel="0" collapsed="false">
      <c r="A374" s="2" t="s">
        <v>32</v>
      </c>
      <c r="B374" s="2" t="n">
        <v>5</v>
      </c>
      <c r="C374" s="2" t="n">
        <v>243</v>
      </c>
      <c r="D374" s="2" t="n">
        <v>1</v>
      </c>
      <c r="E374" s="2" t="n">
        <v>340</v>
      </c>
      <c r="F374" s="2" t="n">
        <v>110</v>
      </c>
      <c r="G374" s="2" t="s">
        <v>37</v>
      </c>
      <c r="H374" s="6" t="str">
        <f aca="false">A374&amp;"_"&amp;B374</f>
        <v>chauas_5</v>
      </c>
      <c r="I374" s="6" t="str">
        <f aca="false">H374&amp;"_"&amp;C374&amp;"_"&amp;G374</f>
        <v>chauas_5_243_Tabebuia cassinoides</v>
      </c>
      <c r="J374" s="6" t="n">
        <f aca="false">IF(COUNTIF($I$2:I374,I374)=1,1,0)</f>
        <v>1</v>
      </c>
      <c r="K374" s="6" t="n">
        <f aca="false">E374*$Q$2</f>
        <v>34</v>
      </c>
      <c r="L374" s="7" t="n">
        <f aca="false">K374/PI()</f>
        <v>10.8225361302489</v>
      </c>
      <c r="M374" s="8" t="n">
        <f aca="false">PI()*L374^2/40000</f>
        <v>0.00919915571071155</v>
      </c>
      <c r="N374" s="7" t="n">
        <f aca="false">F374*$Q$3</f>
        <v>11</v>
      </c>
      <c r="O374" s="3"/>
      <c r="P374" s="3"/>
      <c r="Q374" s="3"/>
    </row>
    <row r="375" customFormat="false" ht="15" hidden="false" customHeight="false" outlineLevel="0" collapsed="false">
      <c r="A375" s="2" t="s">
        <v>32</v>
      </c>
      <c r="B375" s="2" t="n">
        <v>5</v>
      </c>
      <c r="C375" s="2" t="n">
        <v>244</v>
      </c>
      <c r="D375" s="2" t="n">
        <v>1</v>
      </c>
      <c r="E375" s="2" t="n">
        <v>220</v>
      </c>
      <c r="F375" s="2" t="n">
        <v>120</v>
      </c>
      <c r="G375" s="2" t="s">
        <v>33</v>
      </c>
      <c r="H375" s="6" t="str">
        <f aca="false">A375&amp;"_"&amp;B375</f>
        <v>chauas_5</v>
      </c>
      <c r="I375" s="6" t="str">
        <f aca="false">H375&amp;"_"&amp;C375&amp;"_"&amp;G375</f>
        <v>chauas_5_244_Myrcia sulfiflora</v>
      </c>
      <c r="J375" s="6" t="n">
        <f aca="false">IF(COUNTIF($I$2:I375,I375)=1,1,0)</f>
        <v>1</v>
      </c>
      <c r="K375" s="6" t="n">
        <f aca="false">E375*$Q$2</f>
        <v>22</v>
      </c>
      <c r="L375" s="7" t="n">
        <f aca="false">K375/PI()</f>
        <v>7.0028174960434</v>
      </c>
      <c r="M375" s="8" t="n">
        <f aca="false">PI()*L375^2/40000</f>
        <v>0.00385154962282387</v>
      </c>
      <c r="N375" s="7" t="n">
        <f aca="false">F375*$Q$3</f>
        <v>12</v>
      </c>
      <c r="O375" s="3"/>
      <c r="P375" s="3"/>
      <c r="Q375" s="3"/>
    </row>
    <row r="376" customFormat="false" ht="15" hidden="false" customHeight="false" outlineLevel="0" collapsed="false">
      <c r="A376" s="2" t="s">
        <v>32</v>
      </c>
      <c r="B376" s="2" t="n">
        <v>5</v>
      </c>
      <c r="C376" s="2" t="n">
        <v>244</v>
      </c>
      <c r="D376" s="2" t="n">
        <v>2</v>
      </c>
      <c r="E376" s="2" t="n">
        <v>210</v>
      </c>
      <c r="F376" s="2" t="n">
        <v>120</v>
      </c>
      <c r="G376" s="2" t="s">
        <v>33</v>
      </c>
      <c r="H376" s="6" t="str">
        <f aca="false">A376&amp;"_"&amp;B376</f>
        <v>chauas_5</v>
      </c>
      <c r="I376" s="6" t="str">
        <f aca="false">H376&amp;"_"&amp;C376&amp;"_"&amp;G376</f>
        <v>chauas_5_244_Myrcia sulfiflora</v>
      </c>
      <c r="J376" s="6" t="n">
        <f aca="false">IF(COUNTIF($I$2:I376,I376)=1,1,0)</f>
        <v>0</v>
      </c>
      <c r="K376" s="6" t="n">
        <f aca="false">E376*$Q$2</f>
        <v>21</v>
      </c>
      <c r="L376" s="7" t="n">
        <f aca="false">K376/PI()</f>
        <v>6.68450760985961</v>
      </c>
      <c r="M376" s="8" t="n">
        <f aca="false">PI()*L376^2/40000</f>
        <v>0.00350936649517629</v>
      </c>
      <c r="N376" s="7" t="n">
        <f aca="false">F376*$Q$3</f>
        <v>12</v>
      </c>
      <c r="O376" s="3"/>
      <c r="P376" s="3"/>
      <c r="Q376" s="3"/>
    </row>
    <row r="377" customFormat="false" ht="15" hidden="false" customHeight="false" outlineLevel="0" collapsed="false">
      <c r="A377" s="2" t="s">
        <v>32</v>
      </c>
      <c r="B377" s="2" t="n">
        <v>5</v>
      </c>
      <c r="C377" s="2" t="n">
        <v>245</v>
      </c>
      <c r="D377" s="2" t="n">
        <v>1</v>
      </c>
      <c r="E377" s="2" t="n">
        <v>1120</v>
      </c>
      <c r="F377" s="2" t="n">
        <v>140</v>
      </c>
      <c r="G377" s="2" t="s">
        <v>48</v>
      </c>
      <c r="H377" s="6" t="str">
        <f aca="false">A377&amp;"_"&amp;B377</f>
        <v>chauas_5</v>
      </c>
      <c r="I377" s="6" t="str">
        <f aca="false">H377&amp;"_"&amp;C377&amp;"_"&amp;G377</f>
        <v>chauas_5_245_Calophyllum brasiliensis</v>
      </c>
      <c r="J377" s="6" t="n">
        <f aca="false">IF(COUNTIF($I$2:I377,I377)=1,1,0)</f>
        <v>1</v>
      </c>
      <c r="K377" s="6" t="n">
        <f aca="false">E377*$Q$2</f>
        <v>112</v>
      </c>
      <c r="L377" s="7" t="n">
        <f aca="false">K377/PI()</f>
        <v>35.6507072525846</v>
      </c>
      <c r="M377" s="8" t="n">
        <f aca="false">PI()*L377^2/40000</f>
        <v>0.0998219803072368</v>
      </c>
      <c r="N377" s="7" t="n">
        <f aca="false">F377*$Q$3</f>
        <v>14</v>
      </c>
      <c r="O377" s="3"/>
      <c r="P377" s="3"/>
      <c r="Q377" s="3"/>
    </row>
    <row r="378" customFormat="false" ht="15" hidden="false" customHeight="false" outlineLevel="0" collapsed="false">
      <c r="A378" s="2" t="s">
        <v>32</v>
      </c>
      <c r="B378" s="2" t="n">
        <v>5</v>
      </c>
      <c r="C378" s="2" t="n">
        <v>246</v>
      </c>
      <c r="D378" s="2" t="n">
        <v>1</v>
      </c>
      <c r="E378" s="2" t="n">
        <v>540</v>
      </c>
      <c r="F378" s="2" t="n">
        <v>100</v>
      </c>
      <c r="G378" s="2" t="s">
        <v>37</v>
      </c>
      <c r="H378" s="6" t="str">
        <f aca="false">A378&amp;"_"&amp;B378</f>
        <v>chauas_5</v>
      </c>
      <c r="I378" s="6" t="str">
        <f aca="false">H378&amp;"_"&amp;C378&amp;"_"&amp;G378</f>
        <v>chauas_5_246_Tabebuia cassinoides</v>
      </c>
      <c r="J378" s="6" t="n">
        <f aca="false">IF(COUNTIF($I$2:I378,I378)=1,1,0)</f>
        <v>1</v>
      </c>
      <c r="K378" s="6" t="n">
        <f aca="false">E378*$Q$2</f>
        <v>54</v>
      </c>
      <c r="L378" s="7" t="n">
        <f aca="false">K378/PI()</f>
        <v>17.1887338539247</v>
      </c>
      <c r="M378" s="8" t="n">
        <f aca="false">PI()*L378^2/40000</f>
        <v>0.0232047907027983</v>
      </c>
      <c r="N378" s="7" t="n">
        <f aca="false">F378*$Q$3</f>
        <v>10</v>
      </c>
      <c r="O378" s="3"/>
      <c r="P378" s="3"/>
      <c r="Q378" s="3"/>
    </row>
    <row r="379" customFormat="false" ht="15" hidden="false" customHeight="false" outlineLevel="0" collapsed="false">
      <c r="A379" s="2" t="s">
        <v>32</v>
      </c>
      <c r="B379" s="2" t="n">
        <v>5</v>
      </c>
      <c r="C379" s="2" t="n">
        <v>247</v>
      </c>
      <c r="D379" s="2" t="n">
        <v>1</v>
      </c>
      <c r="E379" s="2" t="n">
        <v>360</v>
      </c>
      <c r="F379" s="2" t="n">
        <v>130</v>
      </c>
      <c r="G379" s="2" t="s">
        <v>37</v>
      </c>
      <c r="H379" s="6" t="str">
        <f aca="false">A379&amp;"_"&amp;B379</f>
        <v>chauas_5</v>
      </c>
      <c r="I379" s="6" t="str">
        <f aca="false">H379&amp;"_"&amp;C379&amp;"_"&amp;G379</f>
        <v>chauas_5_247_Tabebuia cassinoides</v>
      </c>
      <c r="J379" s="6" t="n">
        <f aca="false">IF(COUNTIF($I$2:I379,I379)=1,1,0)</f>
        <v>1</v>
      </c>
      <c r="K379" s="6" t="n">
        <f aca="false">E379*$Q$2</f>
        <v>36</v>
      </c>
      <c r="L379" s="7" t="n">
        <f aca="false">K379/PI()</f>
        <v>11.4591559026165</v>
      </c>
      <c r="M379" s="8" t="n">
        <f aca="false">PI()*L379^2/40000</f>
        <v>0.0103132403123548</v>
      </c>
      <c r="N379" s="7" t="n">
        <f aca="false">F379*$Q$3</f>
        <v>13</v>
      </c>
      <c r="O379" s="3"/>
      <c r="P379" s="3"/>
      <c r="Q379" s="3"/>
    </row>
    <row r="380" customFormat="false" ht="15" hidden="false" customHeight="false" outlineLevel="0" collapsed="false">
      <c r="A380" s="2" t="s">
        <v>32</v>
      </c>
      <c r="B380" s="2" t="n">
        <v>5</v>
      </c>
      <c r="C380" s="2" t="n">
        <v>248</v>
      </c>
      <c r="D380" s="2" t="n">
        <v>1</v>
      </c>
      <c r="E380" s="2" t="n">
        <v>220</v>
      </c>
      <c r="F380" s="2" t="n">
        <v>110</v>
      </c>
      <c r="G380" s="2" t="s">
        <v>33</v>
      </c>
      <c r="H380" s="6" t="str">
        <f aca="false">A380&amp;"_"&amp;B380</f>
        <v>chauas_5</v>
      </c>
      <c r="I380" s="6" t="str">
        <f aca="false">H380&amp;"_"&amp;C380&amp;"_"&amp;G380</f>
        <v>chauas_5_248_Myrcia sulfiflora</v>
      </c>
      <c r="J380" s="6" t="n">
        <f aca="false">IF(COUNTIF($I$2:I380,I380)=1,1,0)</f>
        <v>1</v>
      </c>
      <c r="K380" s="6" t="n">
        <f aca="false">E380*$Q$2</f>
        <v>22</v>
      </c>
      <c r="L380" s="7" t="n">
        <f aca="false">K380/PI()</f>
        <v>7.0028174960434</v>
      </c>
      <c r="M380" s="8" t="n">
        <f aca="false">PI()*L380^2/40000</f>
        <v>0.00385154962282387</v>
      </c>
      <c r="N380" s="7" t="n">
        <f aca="false">F380*$Q$3</f>
        <v>11</v>
      </c>
      <c r="O380" s="3"/>
      <c r="P380" s="3"/>
      <c r="Q380" s="3"/>
    </row>
    <row r="381" customFormat="false" ht="15" hidden="false" customHeight="false" outlineLevel="0" collapsed="false">
      <c r="A381" s="2" t="s">
        <v>32</v>
      </c>
      <c r="B381" s="2" t="n">
        <v>5</v>
      </c>
      <c r="C381" s="2" t="n">
        <v>249</v>
      </c>
      <c r="D381" s="2" t="n">
        <v>1</v>
      </c>
      <c r="E381" s="2" t="n">
        <v>360</v>
      </c>
      <c r="F381" s="2" t="n">
        <v>120</v>
      </c>
      <c r="G381" s="2" t="s">
        <v>37</v>
      </c>
      <c r="H381" s="6" t="str">
        <f aca="false">A381&amp;"_"&amp;B381</f>
        <v>chauas_5</v>
      </c>
      <c r="I381" s="6" t="str">
        <f aca="false">H381&amp;"_"&amp;C381&amp;"_"&amp;G381</f>
        <v>chauas_5_249_Tabebuia cassinoides</v>
      </c>
      <c r="J381" s="6" t="n">
        <f aca="false">IF(COUNTIF($I$2:I381,I381)=1,1,0)</f>
        <v>1</v>
      </c>
      <c r="K381" s="6" t="n">
        <f aca="false">E381*$Q$2</f>
        <v>36</v>
      </c>
      <c r="L381" s="7" t="n">
        <f aca="false">K381/PI()</f>
        <v>11.4591559026165</v>
      </c>
      <c r="M381" s="8" t="n">
        <f aca="false">PI()*L381^2/40000</f>
        <v>0.0103132403123548</v>
      </c>
      <c r="N381" s="7" t="n">
        <f aca="false">F381*$Q$3</f>
        <v>12</v>
      </c>
      <c r="O381" s="3"/>
      <c r="P381" s="3"/>
      <c r="Q381" s="3"/>
    </row>
    <row r="382" customFormat="false" ht="15" hidden="false" customHeight="false" outlineLevel="0" collapsed="false">
      <c r="A382" s="2" t="s">
        <v>32</v>
      </c>
      <c r="B382" s="2" t="n">
        <v>5</v>
      </c>
      <c r="C382" s="2" t="n">
        <v>250</v>
      </c>
      <c r="D382" s="2" t="n">
        <v>1</v>
      </c>
      <c r="E382" s="2" t="n">
        <v>190</v>
      </c>
      <c r="F382" s="2" t="n">
        <v>50</v>
      </c>
      <c r="G382" s="2" t="s">
        <v>33</v>
      </c>
      <c r="H382" s="6" t="str">
        <f aca="false">A382&amp;"_"&amp;B382</f>
        <v>chauas_5</v>
      </c>
      <c r="I382" s="6" t="str">
        <f aca="false">H382&amp;"_"&amp;C382&amp;"_"&amp;G382</f>
        <v>chauas_5_250_Myrcia sulfiflora</v>
      </c>
      <c r="J382" s="6" t="n">
        <f aca="false">IF(COUNTIF($I$2:I382,I382)=1,1,0)</f>
        <v>1</v>
      </c>
      <c r="K382" s="6" t="n">
        <f aca="false">E382*$Q$2</f>
        <v>19</v>
      </c>
      <c r="L382" s="7" t="n">
        <f aca="false">K382/PI()</f>
        <v>6.04788783749202</v>
      </c>
      <c r="M382" s="8" t="n">
        <f aca="false">PI()*L382^2/40000</f>
        <v>0.00287274672280871</v>
      </c>
      <c r="N382" s="7" t="n">
        <f aca="false">F382*$Q$3</f>
        <v>5</v>
      </c>
      <c r="O382" s="3"/>
      <c r="P382" s="3"/>
      <c r="Q382" s="3"/>
    </row>
    <row r="383" customFormat="false" ht="15" hidden="false" customHeight="false" outlineLevel="0" collapsed="false">
      <c r="A383" s="2" t="s">
        <v>32</v>
      </c>
      <c r="B383" s="2" t="n">
        <v>5</v>
      </c>
      <c r="C383" s="2" t="n">
        <v>251</v>
      </c>
      <c r="D383" s="2" t="n">
        <v>1</v>
      </c>
      <c r="E383" s="2" t="n">
        <v>360</v>
      </c>
      <c r="F383" s="2" t="n">
        <v>130</v>
      </c>
      <c r="G383" s="2" t="s">
        <v>33</v>
      </c>
      <c r="H383" s="6" t="str">
        <f aca="false">A383&amp;"_"&amp;B383</f>
        <v>chauas_5</v>
      </c>
      <c r="I383" s="6" t="str">
        <f aca="false">H383&amp;"_"&amp;C383&amp;"_"&amp;G383</f>
        <v>chauas_5_251_Myrcia sulfiflora</v>
      </c>
      <c r="J383" s="6" t="n">
        <f aca="false">IF(COUNTIF($I$2:I383,I383)=1,1,0)</f>
        <v>1</v>
      </c>
      <c r="K383" s="6" t="n">
        <f aca="false">E383*$Q$2</f>
        <v>36</v>
      </c>
      <c r="L383" s="7" t="n">
        <f aca="false">K383/PI()</f>
        <v>11.4591559026165</v>
      </c>
      <c r="M383" s="8" t="n">
        <f aca="false">PI()*L383^2/40000</f>
        <v>0.0103132403123548</v>
      </c>
      <c r="N383" s="7" t="n">
        <f aca="false">F383*$Q$3</f>
        <v>13</v>
      </c>
      <c r="O383" s="3"/>
      <c r="P383" s="3"/>
      <c r="Q383" s="3"/>
    </row>
    <row r="384" customFormat="false" ht="15" hidden="false" customHeight="false" outlineLevel="0" collapsed="false">
      <c r="A384" s="2" t="s">
        <v>32</v>
      </c>
      <c r="B384" s="2" t="n">
        <v>5</v>
      </c>
      <c r="C384" s="2" t="n">
        <v>252</v>
      </c>
      <c r="D384" s="2" t="n">
        <v>1</v>
      </c>
      <c r="E384" s="2" t="n">
        <v>390</v>
      </c>
      <c r="F384" s="2" t="n">
        <v>140</v>
      </c>
      <c r="G384" s="2" t="s">
        <v>37</v>
      </c>
      <c r="H384" s="6" t="str">
        <f aca="false">A384&amp;"_"&amp;B384</f>
        <v>chauas_5</v>
      </c>
      <c r="I384" s="6" t="str">
        <f aca="false">H384&amp;"_"&amp;C384&amp;"_"&amp;G384</f>
        <v>chauas_5_252_Tabebuia cassinoides</v>
      </c>
      <c r="J384" s="6" t="n">
        <f aca="false">IF(COUNTIF($I$2:I384,I384)=1,1,0)</f>
        <v>1</v>
      </c>
      <c r="K384" s="6" t="n">
        <f aca="false">E384*$Q$2</f>
        <v>39</v>
      </c>
      <c r="L384" s="7" t="n">
        <f aca="false">K384/PI()</f>
        <v>12.4140855611678</v>
      </c>
      <c r="M384" s="8" t="n">
        <f aca="false">PI()*L384^2/40000</f>
        <v>0.0121037334221386</v>
      </c>
      <c r="N384" s="7" t="n">
        <f aca="false">F384*$Q$3</f>
        <v>14</v>
      </c>
      <c r="O384" s="3"/>
      <c r="P384" s="3"/>
      <c r="Q384" s="3"/>
    </row>
    <row r="385" customFormat="false" ht="15" hidden="false" customHeight="false" outlineLevel="0" collapsed="false">
      <c r="A385" s="2" t="s">
        <v>32</v>
      </c>
      <c r="B385" s="2" t="n">
        <v>5</v>
      </c>
      <c r="C385" s="2" t="n">
        <v>253</v>
      </c>
      <c r="D385" s="2" t="n">
        <v>1</v>
      </c>
      <c r="E385" s="2" t="n">
        <v>310</v>
      </c>
      <c r="F385" s="2" t="n">
        <v>70</v>
      </c>
      <c r="G385" s="2" t="s">
        <v>37</v>
      </c>
      <c r="H385" s="6" t="str">
        <f aca="false">A385&amp;"_"&amp;B385</f>
        <v>chauas_5</v>
      </c>
      <c r="I385" s="6" t="str">
        <f aca="false">H385&amp;"_"&amp;C385&amp;"_"&amp;G385</f>
        <v>chauas_5_253_Tabebuia cassinoides</v>
      </c>
      <c r="J385" s="6" t="n">
        <f aca="false">IF(COUNTIF($I$2:I385,I385)=1,1,0)</f>
        <v>1</v>
      </c>
      <c r="K385" s="6" t="n">
        <f aca="false">E385*$Q$2</f>
        <v>31</v>
      </c>
      <c r="L385" s="7" t="n">
        <f aca="false">K385/PI()</f>
        <v>9.86760647169751</v>
      </c>
      <c r="M385" s="8" t="n">
        <f aca="false">PI()*L385^2/40000</f>
        <v>0.00764739501556557</v>
      </c>
      <c r="N385" s="7" t="n">
        <f aca="false">F385*$Q$3</f>
        <v>7</v>
      </c>
      <c r="O385" s="3"/>
      <c r="P385" s="3"/>
      <c r="Q385" s="3"/>
    </row>
    <row r="386" customFormat="false" ht="15" hidden="false" customHeight="false" outlineLevel="0" collapsed="false">
      <c r="A386" s="2" t="s">
        <v>32</v>
      </c>
      <c r="B386" s="2" t="n">
        <v>5</v>
      </c>
      <c r="C386" s="2" t="n">
        <v>254</v>
      </c>
      <c r="D386" s="2" t="n">
        <v>1</v>
      </c>
      <c r="E386" s="2" t="n">
        <v>290</v>
      </c>
      <c r="F386" s="2" t="n">
        <v>50</v>
      </c>
      <c r="G386" s="2" t="s">
        <v>37</v>
      </c>
      <c r="H386" s="6" t="str">
        <f aca="false">A386&amp;"_"&amp;B386</f>
        <v>chauas_5</v>
      </c>
      <c r="I386" s="6" t="str">
        <f aca="false">H386&amp;"_"&amp;C386&amp;"_"&amp;G386</f>
        <v>chauas_5_254_Tabebuia cassinoides</v>
      </c>
      <c r="J386" s="6" t="n">
        <f aca="false">IF(COUNTIF($I$2:I386,I386)=1,1,0)</f>
        <v>1</v>
      </c>
      <c r="K386" s="6" t="n">
        <f aca="false">E386*$Q$2</f>
        <v>29</v>
      </c>
      <c r="L386" s="7" t="n">
        <f aca="false">K386/PI()</f>
        <v>9.23098669932993</v>
      </c>
      <c r="M386" s="8" t="n">
        <f aca="false">PI()*L386^2/40000</f>
        <v>0.0066924653570142</v>
      </c>
      <c r="N386" s="7" t="n">
        <f aca="false">F386*$Q$3</f>
        <v>5</v>
      </c>
      <c r="O386" s="3"/>
      <c r="P386" s="3"/>
      <c r="Q386" s="3"/>
    </row>
    <row r="387" customFormat="false" ht="15" hidden="false" customHeight="false" outlineLevel="0" collapsed="false">
      <c r="A387" s="2" t="s">
        <v>32</v>
      </c>
      <c r="B387" s="2" t="n">
        <v>5</v>
      </c>
      <c r="C387" s="2" t="n">
        <v>255</v>
      </c>
      <c r="D387" s="2" t="n">
        <v>1</v>
      </c>
      <c r="E387" s="2" t="n">
        <v>290</v>
      </c>
      <c r="F387" s="2" t="n">
        <v>100</v>
      </c>
      <c r="G387" s="2" t="s">
        <v>37</v>
      </c>
      <c r="H387" s="6" t="str">
        <f aca="false">A387&amp;"_"&amp;B387</f>
        <v>chauas_5</v>
      </c>
      <c r="I387" s="6" t="str">
        <f aca="false">H387&amp;"_"&amp;C387&amp;"_"&amp;G387</f>
        <v>chauas_5_255_Tabebuia cassinoides</v>
      </c>
      <c r="J387" s="6" t="n">
        <f aca="false">IF(COUNTIF($I$2:I387,I387)=1,1,0)</f>
        <v>1</v>
      </c>
      <c r="K387" s="6" t="n">
        <f aca="false">E387*$Q$2</f>
        <v>29</v>
      </c>
      <c r="L387" s="7" t="n">
        <f aca="false">K387/PI()</f>
        <v>9.23098669932993</v>
      </c>
      <c r="M387" s="8" t="n">
        <f aca="false">PI()*L387^2/40000</f>
        <v>0.0066924653570142</v>
      </c>
      <c r="N387" s="7" t="n">
        <f aca="false">F387*$Q$3</f>
        <v>10</v>
      </c>
      <c r="O387" s="3"/>
      <c r="P387" s="3"/>
      <c r="Q387" s="3"/>
    </row>
    <row r="388" customFormat="false" ht="15" hidden="false" customHeight="false" outlineLevel="0" collapsed="false">
      <c r="A388" s="2" t="s">
        <v>32</v>
      </c>
      <c r="B388" s="2" t="n">
        <v>5</v>
      </c>
      <c r="C388" s="2" t="n">
        <v>255</v>
      </c>
      <c r="D388" s="2" t="n">
        <v>1</v>
      </c>
      <c r="E388" s="2" t="n">
        <v>210</v>
      </c>
      <c r="F388" s="2" t="n">
        <v>100</v>
      </c>
      <c r="G388" s="2" t="s">
        <v>37</v>
      </c>
      <c r="H388" s="6" t="str">
        <f aca="false">A388&amp;"_"&amp;B388</f>
        <v>chauas_5</v>
      </c>
      <c r="I388" s="6" t="str">
        <f aca="false">H388&amp;"_"&amp;C388&amp;"_"&amp;G388</f>
        <v>chauas_5_255_Tabebuia cassinoides</v>
      </c>
      <c r="J388" s="6" t="n">
        <f aca="false">IF(COUNTIF($I$2:I388,I388)=1,1,0)</f>
        <v>0</v>
      </c>
      <c r="K388" s="6" t="n">
        <f aca="false">E388*$Q$2</f>
        <v>21</v>
      </c>
      <c r="L388" s="7" t="n">
        <f aca="false">K388/PI()</f>
        <v>6.68450760985961</v>
      </c>
      <c r="M388" s="8" t="n">
        <f aca="false">PI()*L388^2/40000</f>
        <v>0.00350936649517629</v>
      </c>
      <c r="N388" s="7" t="n">
        <f aca="false">F388*$Q$3</f>
        <v>10</v>
      </c>
      <c r="O388" s="3"/>
      <c r="P388" s="3"/>
      <c r="Q388" s="3"/>
    </row>
    <row r="389" customFormat="false" ht="15" hidden="false" customHeight="false" outlineLevel="0" collapsed="false">
      <c r="A389" s="2" t="s">
        <v>32</v>
      </c>
      <c r="B389" s="2" t="n">
        <v>5</v>
      </c>
      <c r="C389" s="2" t="n">
        <v>256</v>
      </c>
      <c r="D389" s="2" t="n">
        <v>1</v>
      </c>
      <c r="E389" s="2" t="n">
        <v>220</v>
      </c>
      <c r="F389" s="2" t="n">
        <v>100</v>
      </c>
      <c r="G389" s="2" t="s">
        <v>37</v>
      </c>
      <c r="H389" s="6" t="str">
        <f aca="false">A389&amp;"_"&amp;B389</f>
        <v>chauas_5</v>
      </c>
      <c r="I389" s="6" t="str">
        <f aca="false">H389&amp;"_"&amp;C389&amp;"_"&amp;G389</f>
        <v>chauas_5_256_Tabebuia cassinoides</v>
      </c>
      <c r="J389" s="6" t="n">
        <f aca="false">IF(COUNTIF($I$2:I389,I389)=1,1,0)</f>
        <v>1</v>
      </c>
      <c r="K389" s="6" t="n">
        <f aca="false">E389*$Q$2</f>
        <v>22</v>
      </c>
      <c r="L389" s="7" t="n">
        <f aca="false">K389/PI()</f>
        <v>7.0028174960434</v>
      </c>
      <c r="M389" s="8" t="n">
        <f aca="false">PI()*L389^2/40000</f>
        <v>0.00385154962282387</v>
      </c>
      <c r="N389" s="7" t="n">
        <f aca="false">F389*$Q$3</f>
        <v>10</v>
      </c>
      <c r="O389" s="3"/>
      <c r="P389" s="3"/>
      <c r="Q389" s="3"/>
    </row>
    <row r="390" customFormat="false" ht="15" hidden="false" customHeight="false" outlineLevel="0" collapsed="false">
      <c r="A390" s="2" t="s">
        <v>32</v>
      </c>
      <c r="B390" s="2" t="n">
        <v>5</v>
      </c>
      <c r="C390" s="2" t="n">
        <v>257</v>
      </c>
      <c r="D390" s="2" t="n">
        <v>1</v>
      </c>
      <c r="E390" s="2" t="n">
        <v>410</v>
      </c>
      <c r="F390" s="2" t="n">
        <v>90</v>
      </c>
      <c r="G390" s="2" t="s">
        <v>37</v>
      </c>
      <c r="H390" s="6" t="str">
        <f aca="false">A390&amp;"_"&amp;B390</f>
        <v>chauas_5</v>
      </c>
      <c r="I390" s="6" t="str">
        <f aca="false">H390&amp;"_"&amp;C390&amp;"_"&amp;G390</f>
        <v>chauas_5_257_Tabebuia cassinoides</v>
      </c>
      <c r="J390" s="6" t="n">
        <f aca="false">IF(COUNTIF($I$2:I390,I390)=1,1,0)</f>
        <v>1</v>
      </c>
      <c r="K390" s="6" t="n">
        <f aca="false">E390*$Q$2</f>
        <v>41</v>
      </c>
      <c r="L390" s="7" t="n">
        <f aca="false">K390/PI()</f>
        <v>13.0507053335354</v>
      </c>
      <c r="M390" s="8" t="n">
        <f aca="false">PI()*L390^2/40000</f>
        <v>0.0133769729668738</v>
      </c>
      <c r="N390" s="7" t="n">
        <f aca="false">F390*$Q$3</f>
        <v>9</v>
      </c>
      <c r="O390" s="3"/>
      <c r="P390" s="3"/>
      <c r="Q390" s="3"/>
    </row>
    <row r="391" customFormat="false" ht="15" hidden="false" customHeight="false" outlineLevel="0" collapsed="false">
      <c r="A391" s="2" t="s">
        <v>32</v>
      </c>
      <c r="B391" s="2" t="n">
        <v>5</v>
      </c>
      <c r="C391" s="2" t="n">
        <v>258</v>
      </c>
      <c r="D391" s="2" t="n">
        <v>1</v>
      </c>
      <c r="E391" s="2" t="n">
        <v>230</v>
      </c>
      <c r="F391" s="2" t="n">
        <v>80</v>
      </c>
      <c r="G391" s="2" t="s">
        <v>37</v>
      </c>
      <c r="H391" s="6" t="str">
        <f aca="false">A391&amp;"_"&amp;B391</f>
        <v>chauas_5</v>
      </c>
      <c r="I391" s="6" t="str">
        <f aca="false">H391&amp;"_"&amp;C391&amp;"_"&amp;G391</f>
        <v>chauas_5_258_Tabebuia cassinoides</v>
      </c>
      <c r="J391" s="6" t="n">
        <f aca="false">IF(COUNTIF($I$2:I391,I391)=1,1,0)</f>
        <v>1</v>
      </c>
      <c r="K391" s="6" t="n">
        <f aca="false">E391*$Q$2</f>
        <v>23</v>
      </c>
      <c r="L391" s="7" t="n">
        <f aca="false">K391/PI()</f>
        <v>7.32112738222719</v>
      </c>
      <c r="M391" s="8" t="n">
        <f aca="false">PI()*L391^2/40000</f>
        <v>0.00420964824478063</v>
      </c>
      <c r="N391" s="7" t="n">
        <f aca="false">F391*$Q$3</f>
        <v>8</v>
      </c>
      <c r="O391" s="3"/>
      <c r="P391" s="3"/>
      <c r="Q391" s="3"/>
    </row>
    <row r="392" customFormat="false" ht="15" hidden="false" customHeight="false" outlineLevel="0" collapsed="false">
      <c r="A392" s="2" t="s">
        <v>32</v>
      </c>
      <c r="B392" s="2" t="n">
        <v>5</v>
      </c>
      <c r="C392" s="2" t="n">
        <v>258</v>
      </c>
      <c r="D392" s="2" t="n">
        <v>2</v>
      </c>
      <c r="E392" s="2" t="n">
        <v>480</v>
      </c>
      <c r="F392" s="2" t="n">
        <v>80</v>
      </c>
      <c r="G392" s="2" t="s">
        <v>37</v>
      </c>
      <c r="H392" s="6" t="str">
        <f aca="false">A392&amp;"_"&amp;B392</f>
        <v>chauas_5</v>
      </c>
      <c r="I392" s="6" t="str">
        <f aca="false">H392&amp;"_"&amp;C392&amp;"_"&amp;G392</f>
        <v>chauas_5_258_Tabebuia cassinoides</v>
      </c>
      <c r="J392" s="6" t="n">
        <f aca="false">IF(COUNTIF($I$2:I392,I392)=1,1,0)</f>
        <v>0</v>
      </c>
      <c r="K392" s="6" t="n">
        <f aca="false">E392*$Q$2</f>
        <v>48</v>
      </c>
      <c r="L392" s="7" t="n">
        <f aca="false">K392/PI()</f>
        <v>15.278874536822</v>
      </c>
      <c r="M392" s="8" t="n">
        <f aca="false">PI()*L392^2/40000</f>
        <v>0.0183346494441863</v>
      </c>
      <c r="N392" s="7" t="n">
        <f aca="false">F392*$Q$3</f>
        <v>8</v>
      </c>
      <c r="O392" s="3"/>
      <c r="P392" s="3"/>
      <c r="Q392" s="3"/>
    </row>
    <row r="393" customFormat="false" ht="15" hidden="false" customHeight="false" outlineLevel="0" collapsed="false">
      <c r="A393" s="2" t="s">
        <v>32</v>
      </c>
      <c r="B393" s="2" t="n">
        <v>5</v>
      </c>
      <c r="C393" s="2" t="n">
        <v>259</v>
      </c>
      <c r="D393" s="2" t="n">
        <v>1</v>
      </c>
      <c r="E393" s="2" t="n">
        <v>230</v>
      </c>
      <c r="F393" s="2" t="n">
        <v>80</v>
      </c>
      <c r="G393" s="2" t="s">
        <v>33</v>
      </c>
      <c r="H393" s="6" t="str">
        <f aca="false">A393&amp;"_"&amp;B393</f>
        <v>chauas_5</v>
      </c>
      <c r="I393" s="6" t="str">
        <f aca="false">H393&amp;"_"&amp;C393&amp;"_"&amp;G393</f>
        <v>chauas_5_259_Myrcia sulfiflora</v>
      </c>
      <c r="J393" s="6" t="n">
        <f aca="false">IF(COUNTIF($I$2:I393,I393)=1,1,0)</f>
        <v>1</v>
      </c>
      <c r="K393" s="6" t="n">
        <f aca="false">E393*$Q$2</f>
        <v>23</v>
      </c>
      <c r="L393" s="7" t="n">
        <f aca="false">K393/PI()</f>
        <v>7.32112738222719</v>
      </c>
      <c r="M393" s="8" t="n">
        <f aca="false">PI()*L393^2/40000</f>
        <v>0.00420964824478063</v>
      </c>
      <c r="N393" s="7" t="n">
        <f aca="false">F393*$Q$3</f>
        <v>8</v>
      </c>
      <c r="O393" s="3"/>
      <c r="P393" s="3"/>
      <c r="Q393" s="3"/>
    </row>
    <row r="394" customFormat="false" ht="15" hidden="false" customHeight="false" outlineLevel="0" collapsed="false">
      <c r="A394" s="2" t="s">
        <v>32</v>
      </c>
      <c r="B394" s="2" t="n">
        <v>5</v>
      </c>
      <c r="C394" s="2" t="n">
        <v>260</v>
      </c>
      <c r="D394" s="2" t="n">
        <v>1</v>
      </c>
      <c r="E394" s="2" t="n">
        <v>290</v>
      </c>
      <c r="F394" s="2" t="n">
        <v>60</v>
      </c>
      <c r="G394" s="2" t="s">
        <v>37</v>
      </c>
      <c r="H394" s="6" t="str">
        <f aca="false">A394&amp;"_"&amp;B394</f>
        <v>chauas_5</v>
      </c>
      <c r="I394" s="6" t="str">
        <f aca="false">H394&amp;"_"&amp;C394&amp;"_"&amp;G394</f>
        <v>chauas_5_260_Tabebuia cassinoides</v>
      </c>
      <c r="J394" s="6" t="n">
        <f aca="false">IF(COUNTIF($I$2:I394,I394)=1,1,0)</f>
        <v>1</v>
      </c>
      <c r="K394" s="6" t="n">
        <f aca="false">E394*$Q$2</f>
        <v>29</v>
      </c>
      <c r="L394" s="7" t="n">
        <f aca="false">K394/PI()</f>
        <v>9.23098669932993</v>
      </c>
      <c r="M394" s="8" t="n">
        <f aca="false">PI()*L394^2/40000</f>
        <v>0.0066924653570142</v>
      </c>
      <c r="N394" s="7" t="n">
        <f aca="false">F394*$Q$3</f>
        <v>6</v>
      </c>
      <c r="O394" s="3"/>
      <c r="P394" s="3"/>
      <c r="Q394" s="3"/>
    </row>
    <row r="395" customFormat="false" ht="15" hidden="false" customHeight="false" outlineLevel="0" collapsed="false">
      <c r="A395" s="2" t="s">
        <v>32</v>
      </c>
      <c r="B395" s="2" t="n">
        <v>5</v>
      </c>
      <c r="C395" s="2" t="n">
        <v>261</v>
      </c>
      <c r="D395" s="2" t="n">
        <v>1</v>
      </c>
      <c r="E395" s="2" t="n">
        <v>180</v>
      </c>
      <c r="F395" s="2" t="n">
        <v>80</v>
      </c>
      <c r="G395" s="2" t="s">
        <v>37</v>
      </c>
      <c r="H395" s="6" t="str">
        <f aca="false">A395&amp;"_"&amp;B395</f>
        <v>chauas_5</v>
      </c>
      <c r="I395" s="6" t="str">
        <f aca="false">H395&amp;"_"&amp;C395&amp;"_"&amp;G395</f>
        <v>chauas_5_261_Tabebuia cassinoides</v>
      </c>
      <c r="J395" s="6" t="n">
        <f aca="false">IF(COUNTIF($I$2:I395,I395)=1,1,0)</f>
        <v>1</v>
      </c>
      <c r="K395" s="6" t="n">
        <f aca="false">E395*$Q$2</f>
        <v>18</v>
      </c>
      <c r="L395" s="7" t="n">
        <f aca="false">K395/PI()</f>
        <v>5.72957795130823</v>
      </c>
      <c r="M395" s="8" t="n">
        <f aca="false">PI()*L395^2/40000</f>
        <v>0.0025783100780887</v>
      </c>
      <c r="N395" s="7" t="n">
        <f aca="false">F395*$Q$3</f>
        <v>8</v>
      </c>
      <c r="O395" s="3"/>
      <c r="P395" s="3"/>
      <c r="Q395" s="3"/>
    </row>
    <row r="396" customFormat="false" ht="15" hidden="false" customHeight="false" outlineLevel="0" collapsed="false">
      <c r="A396" s="2" t="s">
        <v>32</v>
      </c>
      <c r="B396" s="2" t="n">
        <v>5</v>
      </c>
      <c r="C396" s="2" t="n">
        <v>261</v>
      </c>
      <c r="D396" s="2" t="n">
        <v>2</v>
      </c>
      <c r="E396" s="2" t="n">
        <v>230</v>
      </c>
      <c r="F396" s="2" t="n">
        <v>80</v>
      </c>
      <c r="G396" s="2" t="s">
        <v>37</v>
      </c>
      <c r="H396" s="6" t="str">
        <f aca="false">A396&amp;"_"&amp;B396</f>
        <v>chauas_5</v>
      </c>
      <c r="I396" s="6" t="str">
        <f aca="false">H396&amp;"_"&amp;C396&amp;"_"&amp;G396</f>
        <v>chauas_5_261_Tabebuia cassinoides</v>
      </c>
      <c r="J396" s="6" t="n">
        <f aca="false">IF(COUNTIF($I$2:I396,I396)=1,1,0)</f>
        <v>0</v>
      </c>
      <c r="K396" s="6" t="n">
        <f aca="false">E396*$Q$2</f>
        <v>23</v>
      </c>
      <c r="L396" s="7" t="n">
        <f aca="false">K396/PI()</f>
        <v>7.32112738222719</v>
      </c>
      <c r="M396" s="8" t="n">
        <f aca="false">PI()*L396^2/40000</f>
        <v>0.00420964824478063</v>
      </c>
      <c r="N396" s="7" t="n">
        <f aca="false">F396*$Q$3</f>
        <v>8</v>
      </c>
      <c r="O396" s="3"/>
      <c r="P396" s="3"/>
      <c r="Q396" s="3"/>
    </row>
    <row r="397" customFormat="false" ht="15" hidden="false" customHeight="false" outlineLevel="0" collapsed="false">
      <c r="A397" s="2" t="s">
        <v>32</v>
      </c>
      <c r="B397" s="2" t="n">
        <v>5</v>
      </c>
      <c r="C397" s="2" t="n">
        <v>262</v>
      </c>
      <c r="D397" s="2" t="n">
        <v>1</v>
      </c>
      <c r="E397" s="2" t="n">
        <v>220</v>
      </c>
      <c r="F397" s="2" t="n">
        <v>80</v>
      </c>
      <c r="G397" s="2" t="s">
        <v>37</v>
      </c>
      <c r="H397" s="6" t="str">
        <f aca="false">A397&amp;"_"&amp;B397</f>
        <v>chauas_5</v>
      </c>
      <c r="I397" s="6" t="str">
        <f aca="false">H397&amp;"_"&amp;C397&amp;"_"&amp;G397</f>
        <v>chauas_5_262_Tabebuia cassinoides</v>
      </c>
      <c r="J397" s="6" t="n">
        <f aca="false">IF(COUNTIF($I$2:I397,I397)=1,1,0)</f>
        <v>1</v>
      </c>
      <c r="K397" s="6" t="n">
        <f aca="false">E397*$Q$2</f>
        <v>22</v>
      </c>
      <c r="L397" s="7" t="n">
        <f aca="false">K397/PI()</f>
        <v>7.0028174960434</v>
      </c>
      <c r="M397" s="8" t="n">
        <f aca="false">PI()*L397^2/40000</f>
        <v>0.00385154962282387</v>
      </c>
      <c r="N397" s="7" t="n">
        <f aca="false">F397*$Q$3</f>
        <v>8</v>
      </c>
      <c r="O397" s="3"/>
      <c r="P397" s="3"/>
      <c r="Q397" s="3"/>
    </row>
    <row r="398" customFormat="false" ht="15" hidden="false" customHeight="false" outlineLevel="0" collapsed="false">
      <c r="A398" s="2" t="s">
        <v>32</v>
      </c>
      <c r="B398" s="2" t="n">
        <v>5</v>
      </c>
      <c r="C398" s="2" t="n">
        <v>263</v>
      </c>
      <c r="D398" s="2" t="n">
        <v>1</v>
      </c>
      <c r="E398" s="2" t="n">
        <v>270</v>
      </c>
      <c r="F398" s="2" t="n">
        <v>70</v>
      </c>
      <c r="G398" s="2" t="s">
        <v>37</v>
      </c>
      <c r="H398" s="6" t="str">
        <f aca="false">A398&amp;"_"&amp;B398</f>
        <v>chauas_5</v>
      </c>
      <c r="I398" s="6" t="str">
        <f aca="false">H398&amp;"_"&amp;C398&amp;"_"&amp;G398</f>
        <v>chauas_5_263_Tabebuia cassinoides</v>
      </c>
      <c r="J398" s="6" t="n">
        <f aca="false">IF(COUNTIF($I$2:I398,I398)=1,1,0)</f>
        <v>1</v>
      </c>
      <c r="K398" s="6" t="n">
        <f aca="false">E398*$Q$2</f>
        <v>27</v>
      </c>
      <c r="L398" s="7" t="n">
        <f aca="false">K398/PI()</f>
        <v>8.59436692696235</v>
      </c>
      <c r="M398" s="8" t="n">
        <f aca="false">PI()*L398^2/40000</f>
        <v>0.00580119767569958</v>
      </c>
      <c r="N398" s="7" t="n">
        <f aca="false">F398*$Q$3</f>
        <v>7</v>
      </c>
      <c r="O398" s="3"/>
      <c r="P398" s="3"/>
      <c r="Q398" s="3"/>
    </row>
    <row r="399" customFormat="false" ht="15" hidden="false" customHeight="false" outlineLevel="0" collapsed="false">
      <c r="A399" s="2" t="s">
        <v>32</v>
      </c>
      <c r="B399" s="2" t="n">
        <v>5</v>
      </c>
      <c r="C399" s="2" t="n">
        <v>264</v>
      </c>
      <c r="D399" s="2" t="n">
        <v>1</v>
      </c>
      <c r="E399" s="2" t="n">
        <v>290</v>
      </c>
      <c r="F399" s="2" t="n">
        <v>100</v>
      </c>
      <c r="G399" s="2" t="s">
        <v>33</v>
      </c>
      <c r="H399" s="6" t="str">
        <f aca="false">A399&amp;"_"&amp;B399</f>
        <v>chauas_5</v>
      </c>
      <c r="I399" s="6" t="str">
        <f aca="false">H399&amp;"_"&amp;C399&amp;"_"&amp;G399</f>
        <v>chauas_5_264_Myrcia sulfiflora</v>
      </c>
      <c r="J399" s="6" t="n">
        <f aca="false">IF(COUNTIF($I$2:I399,I399)=1,1,0)</f>
        <v>1</v>
      </c>
      <c r="K399" s="6" t="n">
        <f aca="false">E399*$Q$2</f>
        <v>29</v>
      </c>
      <c r="L399" s="7" t="n">
        <f aca="false">K399/PI()</f>
        <v>9.23098669932993</v>
      </c>
      <c r="M399" s="8" t="n">
        <f aca="false">PI()*L399^2/40000</f>
        <v>0.0066924653570142</v>
      </c>
      <c r="N399" s="7" t="n">
        <f aca="false">F399*$Q$3</f>
        <v>10</v>
      </c>
      <c r="O399" s="3"/>
      <c r="P399" s="3"/>
      <c r="Q399" s="3"/>
    </row>
    <row r="400" customFormat="false" ht="15" hidden="false" customHeight="false" outlineLevel="0" collapsed="false">
      <c r="A400" s="2" t="s">
        <v>32</v>
      </c>
      <c r="B400" s="2" t="n">
        <v>5</v>
      </c>
      <c r="C400" s="2" t="n">
        <v>265</v>
      </c>
      <c r="D400" s="2" t="n">
        <v>1</v>
      </c>
      <c r="E400" s="2" t="n">
        <v>230</v>
      </c>
      <c r="F400" s="2" t="n">
        <v>130</v>
      </c>
      <c r="G400" s="2" t="s">
        <v>33</v>
      </c>
      <c r="H400" s="6" t="str">
        <f aca="false">A400&amp;"_"&amp;B400</f>
        <v>chauas_5</v>
      </c>
      <c r="I400" s="6" t="str">
        <f aca="false">H400&amp;"_"&amp;C400&amp;"_"&amp;G400</f>
        <v>chauas_5_265_Myrcia sulfiflora</v>
      </c>
      <c r="J400" s="6" t="n">
        <f aca="false">IF(COUNTIF($I$2:I400,I400)=1,1,0)</f>
        <v>1</v>
      </c>
      <c r="K400" s="6" t="n">
        <f aca="false">E400*$Q$2</f>
        <v>23</v>
      </c>
      <c r="L400" s="7" t="n">
        <f aca="false">K400/PI()</f>
        <v>7.32112738222719</v>
      </c>
      <c r="M400" s="8" t="n">
        <f aca="false">PI()*L400^2/40000</f>
        <v>0.00420964824478063</v>
      </c>
      <c r="N400" s="7" t="n">
        <f aca="false">F400*$Q$3</f>
        <v>13</v>
      </c>
      <c r="O400" s="3"/>
      <c r="P400" s="3"/>
      <c r="Q400" s="3"/>
    </row>
    <row r="401" customFormat="false" ht="15" hidden="false" customHeight="false" outlineLevel="0" collapsed="false">
      <c r="A401" s="2" t="s">
        <v>32</v>
      </c>
      <c r="B401" s="2" t="n">
        <v>5</v>
      </c>
      <c r="C401" s="2" t="n">
        <v>266</v>
      </c>
      <c r="D401" s="2" t="n">
        <v>1</v>
      </c>
      <c r="E401" s="2" t="n">
        <v>510</v>
      </c>
      <c r="F401" s="2" t="n">
        <v>150</v>
      </c>
      <c r="G401" s="2" t="s">
        <v>37</v>
      </c>
      <c r="H401" s="6" t="str">
        <f aca="false">A401&amp;"_"&amp;B401</f>
        <v>chauas_5</v>
      </c>
      <c r="I401" s="6" t="str">
        <f aca="false">H401&amp;"_"&amp;C401&amp;"_"&amp;G401</f>
        <v>chauas_5_266_Tabebuia cassinoides</v>
      </c>
      <c r="J401" s="6" t="n">
        <f aca="false">IF(COUNTIF($I$2:I401,I401)=1,1,0)</f>
        <v>1</v>
      </c>
      <c r="K401" s="6" t="n">
        <f aca="false">E401*$Q$2</f>
        <v>51</v>
      </c>
      <c r="L401" s="7" t="n">
        <f aca="false">K401/PI()</f>
        <v>16.2338041953733</v>
      </c>
      <c r="M401" s="8" t="n">
        <f aca="false">PI()*L401^2/40000</f>
        <v>0.020698100349101</v>
      </c>
      <c r="N401" s="7" t="n">
        <f aca="false">F401*$Q$3</f>
        <v>15</v>
      </c>
      <c r="O401" s="3"/>
      <c r="P401" s="3"/>
      <c r="Q401" s="3"/>
    </row>
    <row r="402" customFormat="false" ht="15" hidden="false" customHeight="false" outlineLevel="0" collapsed="false">
      <c r="A402" s="2" t="s">
        <v>32</v>
      </c>
      <c r="B402" s="2" t="n">
        <v>5</v>
      </c>
      <c r="C402" s="2" t="n">
        <v>267</v>
      </c>
      <c r="D402" s="2" t="n">
        <v>1</v>
      </c>
      <c r="E402" s="2" t="n">
        <v>510</v>
      </c>
      <c r="F402" s="2" t="n">
        <v>150</v>
      </c>
      <c r="G402" s="2" t="s">
        <v>37</v>
      </c>
      <c r="H402" s="6" t="str">
        <f aca="false">A402&amp;"_"&amp;B402</f>
        <v>chauas_5</v>
      </c>
      <c r="I402" s="6" t="str">
        <f aca="false">H402&amp;"_"&amp;C402&amp;"_"&amp;G402</f>
        <v>chauas_5_267_Tabebuia cassinoides</v>
      </c>
      <c r="J402" s="6" t="n">
        <f aca="false">IF(COUNTIF($I$2:I402,I402)=1,1,0)</f>
        <v>1</v>
      </c>
      <c r="K402" s="6" t="n">
        <f aca="false">E402*$Q$2</f>
        <v>51</v>
      </c>
      <c r="L402" s="7" t="n">
        <f aca="false">K402/PI()</f>
        <v>16.2338041953733</v>
      </c>
      <c r="M402" s="8" t="n">
        <f aca="false">PI()*L402^2/40000</f>
        <v>0.020698100349101</v>
      </c>
      <c r="N402" s="7" t="n">
        <f aca="false">F402*$Q$3</f>
        <v>15</v>
      </c>
      <c r="O402" s="3"/>
      <c r="P402" s="3"/>
      <c r="Q402" s="3"/>
    </row>
    <row r="403" customFormat="false" ht="15" hidden="false" customHeight="false" outlineLevel="0" collapsed="false">
      <c r="A403" s="2" t="s">
        <v>32</v>
      </c>
      <c r="B403" s="2" t="n">
        <v>5</v>
      </c>
      <c r="C403" s="2" t="n">
        <v>268</v>
      </c>
      <c r="D403" s="2" t="n">
        <v>1</v>
      </c>
      <c r="E403" s="2" t="n">
        <v>480</v>
      </c>
      <c r="F403" s="2" t="n">
        <v>140</v>
      </c>
      <c r="G403" s="2" t="s">
        <v>33</v>
      </c>
      <c r="H403" s="6" t="str">
        <f aca="false">A403&amp;"_"&amp;B403</f>
        <v>chauas_5</v>
      </c>
      <c r="I403" s="6" t="str">
        <f aca="false">H403&amp;"_"&amp;C403&amp;"_"&amp;G403</f>
        <v>chauas_5_268_Myrcia sulfiflora</v>
      </c>
      <c r="J403" s="6" t="n">
        <f aca="false">IF(COUNTIF($I$2:I403,I403)=1,1,0)</f>
        <v>1</v>
      </c>
      <c r="K403" s="6" t="n">
        <f aca="false">E403*$Q$2</f>
        <v>48</v>
      </c>
      <c r="L403" s="7" t="n">
        <f aca="false">K403/PI()</f>
        <v>15.278874536822</v>
      </c>
      <c r="M403" s="8" t="n">
        <f aca="false">PI()*L403^2/40000</f>
        <v>0.0183346494441863</v>
      </c>
      <c r="N403" s="7" t="n">
        <f aca="false">F403*$Q$3</f>
        <v>14</v>
      </c>
      <c r="O403" s="3"/>
      <c r="P403" s="3"/>
      <c r="Q403" s="3"/>
    </row>
    <row r="404" customFormat="false" ht="15" hidden="false" customHeight="false" outlineLevel="0" collapsed="false">
      <c r="A404" s="2" t="s">
        <v>32</v>
      </c>
      <c r="B404" s="2" t="n">
        <v>5</v>
      </c>
      <c r="C404" s="2" t="n">
        <v>269</v>
      </c>
      <c r="D404" s="2" t="n">
        <v>1</v>
      </c>
      <c r="E404" s="2" t="n">
        <v>530</v>
      </c>
      <c r="F404" s="2" t="n">
        <v>120</v>
      </c>
      <c r="G404" s="2" t="s">
        <v>37</v>
      </c>
      <c r="H404" s="6" t="str">
        <f aca="false">A404&amp;"_"&amp;B404</f>
        <v>chauas_5</v>
      </c>
      <c r="I404" s="6" t="str">
        <f aca="false">H404&amp;"_"&amp;C404&amp;"_"&amp;G404</f>
        <v>chauas_5_269_Tabebuia cassinoides</v>
      </c>
      <c r="J404" s="6" t="n">
        <f aca="false">IF(COUNTIF($I$2:I404,I404)=1,1,0)</f>
        <v>1</v>
      </c>
      <c r="K404" s="6" t="n">
        <f aca="false">E404*$Q$2</f>
        <v>53</v>
      </c>
      <c r="L404" s="7" t="n">
        <f aca="false">K404/PI()</f>
        <v>16.8704239677409</v>
      </c>
      <c r="M404" s="8" t="n">
        <f aca="false">PI()*L404^2/40000</f>
        <v>0.0223533117572567</v>
      </c>
      <c r="N404" s="7" t="n">
        <f aca="false">F404*$Q$3</f>
        <v>12</v>
      </c>
      <c r="O404" s="3"/>
      <c r="P404" s="3"/>
      <c r="Q404" s="3"/>
    </row>
    <row r="405" customFormat="false" ht="15" hidden="false" customHeight="false" outlineLevel="0" collapsed="false">
      <c r="A405" s="2" t="s">
        <v>32</v>
      </c>
      <c r="B405" s="2" t="n">
        <v>5</v>
      </c>
      <c r="C405" s="2" t="n">
        <v>270</v>
      </c>
      <c r="D405" s="2" t="n">
        <v>1</v>
      </c>
      <c r="E405" s="2" t="n">
        <v>410</v>
      </c>
      <c r="F405" s="2" t="n">
        <v>140</v>
      </c>
      <c r="G405" s="2" t="s">
        <v>37</v>
      </c>
      <c r="H405" s="6" t="str">
        <f aca="false">A405&amp;"_"&amp;B405</f>
        <v>chauas_5</v>
      </c>
      <c r="I405" s="6" t="str">
        <f aca="false">H405&amp;"_"&amp;C405&amp;"_"&amp;G405</f>
        <v>chauas_5_270_Tabebuia cassinoides</v>
      </c>
      <c r="J405" s="6" t="n">
        <f aca="false">IF(COUNTIF($I$2:I405,I405)=1,1,0)</f>
        <v>1</v>
      </c>
      <c r="K405" s="6" t="n">
        <f aca="false">E405*$Q$2</f>
        <v>41</v>
      </c>
      <c r="L405" s="7" t="n">
        <f aca="false">K405/PI()</f>
        <v>13.0507053335354</v>
      </c>
      <c r="M405" s="8" t="n">
        <f aca="false">PI()*L405^2/40000</f>
        <v>0.0133769729668738</v>
      </c>
      <c r="N405" s="7" t="n">
        <f aca="false">F405*$Q$3</f>
        <v>14</v>
      </c>
      <c r="O405" s="3"/>
      <c r="P405" s="3"/>
      <c r="Q405" s="3"/>
    </row>
    <row r="406" customFormat="false" ht="15" hidden="false" customHeight="false" outlineLevel="0" collapsed="false">
      <c r="A406" s="2" t="s">
        <v>32</v>
      </c>
      <c r="B406" s="2" t="n">
        <v>5</v>
      </c>
      <c r="C406" s="2" t="n">
        <v>271</v>
      </c>
      <c r="D406" s="2" t="n">
        <v>1</v>
      </c>
      <c r="E406" s="2" t="n">
        <v>480</v>
      </c>
      <c r="F406" s="2" t="n">
        <v>100</v>
      </c>
      <c r="G406" s="2" t="s">
        <v>37</v>
      </c>
      <c r="H406" s="6" t="str">
        <f aca="false">A406&amp;"_"&amp;B406</f>
        <v>chauas_5</v>
      </c>
      <c r="I406" s="6" t="str">
        <f aca="false">H406&amp;"_"&amp;C406&amp;"_"&amp;G406</f>
        <v>chauas_5_271_Tabebuia cassinoides</v>
      </c>
      <c r="J406" s="6" t="n">
        <f aca="false">IF(COUNTIF($I$2:I406,I406)=1,1,0)</f>
        <v>1</v>
      </c>
      <c r="K406" s="6" t="n">
        <f aca="false">E406*$Q$2</f>
        <v>48</v>
      </c>
      <c r="L406" s="7" t="n">
        <f aca="false">K406/PI()</f>
        <v>15.278874536822</v>
      </c>
      <c r="M406" s="8" t="n">
        <f aca="false">PI()*L406^2/40000</f>
        <v>0.0183346494441863</v>
      </c>
      <c r="N406" s="7" t="n">
        <f aca="false">F406*$Q$3</f>
        <v>10</v>
      </c>
      <c r="O406" s="3"/>
      <c r="P406" s="3"/>
      <c r="Q406" s="3"/>
    </row>
    <row r="407" customFormat="false" ht="15" hidden="false" customHeight="false" outlineLevel="0" collapsed="false">
      <c r="A407" s="2" t="s">
        <v>32</v>
      </c>
      <c r="B407" s="2" t="n">
        <v>5</v>
      </c>
      <c r="C407" s="2" t="n">
        <v>272</v>
      </c>
      <c r="D407" s="2" t="n">
        <v>1</v>
      </c>
      <c r="E407" s="2" t="n">
        <v>370</v>
      </c>
      <c r="F407" s="2" t="n">
        <v>140</v>
      </c>
      <c r="G407" s="2" t="s">
        <v>37</v>
      </c>
      <c r="H407" s="6" t="str">
        <f aca="false">A407&amp;"_"&amp;B407</f>
        <v>chauas_5</v>
      </c>
      <c r="I407" s="6" t="str">
        <f aca="false">H407&amp;"_"&amp;C407&amp;"_"&amp;G407</f>
        <v>chauas_5_272_Tabebuia cassinoides</v>
      </c>
      <c r="J407" s="6" t="n">
        <f aca="false">IF(COUNTIF($I$2:I407,I407)=1,1,0)</f>
        <v>1</v>
      </c>
      <c r="K407" s="6" t="n">
        <f aca="false">E407*$Q$2</f>
        <v>37</v>
      </c>
      <c r="L407" s="7" t="n">
        <f aca="false">K407/PI()</f>
        <v>11.7774657888003</v>
      </c>
      <c r="M407" s="8" t="n">
        <f aca="false">PI()*L407^2/40000</f>
        <v>0.0108941558546402</v>
      </c>
      <c r="N407" s="7" t="n">
        <f aca="false">F407*$Q$3</f>
        <v>14</v>
      </c>
      <c r="O407" s="3"/>
      <c r="P407" s="3"/>
      <c r="Q407" s="3"/>
    </row>
    <row r="408" customFormat="false" ht="15" hidden="false" customHeight="false" outlineLevel="0" collapsed="false">
      <c r="A408" s="2" t="s">
        <v>32</v>
      </c>
      <c r="B408" s="2" t="n">
        <v>5</v>
      </c>
      <c r="C408" s="2" t="n">
        <v>273</v>
      </c>
      <c r="D408" s="2" t="n">
        <v>1</v>
      </c>
      <c r="E408" s="2" t="n">
        <v>250</v>
      </c>
      <c r="F408" s="2" t="n">
        <v>90</v>
      </c>
      <c r="G408" s="2" t="s">
        <v>33</v>
      </c>
      <c r="H408" s="6" t="str">
        <f aca="false">A408&amp;"_"&amp;B408</f>
        <v>chauas_5</v>
      </c>
      <c r="I408" s="6" t="str">
        <f aca="false">H408&amp;"_"&amp;C408&amp;"_"&amp;G408</f>
        <v>chauas_5_273_Myrcia sulfiflora</v>
      </c>
      <c r="J408" s="6" t="n">
        <f aca="false">IF(COUNTIF($I$2:I408,I408)=1,1,0)</f>
        <v>1</v>
      </c>
      <c r="K408" s="6" t="n">
        <f aca="false">E408*$Q$2</f>
        <v>25</v>
      </c>
      <c r="L408" s="7" t="n">
        <f aca="false">K408/PI()</f>
        <v>7.95774715459477</v>
      </c>
      <c r="M408" s="8" t="n">
        <f aca="false">PI()*L408^2/40000</f>
        <v>0.00497359197162173</v>
      </c>
      <c r="N408" s="7" t="n">
        <f aca="false">F408*$Q$3</f>
        <v>9</v>
      </c>
      <c r="O408" s="3"/>
      <c r="P408" s="3"/>
      <c r="Q408" s="3"/>
    </row>
    <row r="409" customFormat="false" ht="15" hidden="false" customHeight="false" outlineLevel="0" collapsed="false">
      <c r="A409" s="2" t="s">
        <v>32</v>
      </c>
      <c r="B409" s="2" t="n">
        <v>5</v>
      </c>
      <c r="C409" s="2" t="n">
        <v>274</v>
      </c>
      <c r="D409" s="2" t="n">
        <v>1</v>
      </c>
      <c r="E409" s="2" t="n">
        <v>330</v>
      </c>
      <c r="F409" s="2" t="n">
        <v>140</v>
      </c>
      <c r="G409" s="2" t="s">
        <v>37</v>
      </c>
      <c r="H409" s="6" t="str">
        <f aca="false">A409&amp;"_"&amp;B409</f>
        <v>chauas_5</v>
      </c>
      <c r="I409" s="6" t="str">
        <f aca="false">H409&amp;"_"&amp;C409&amp;"_"&amp;G409</f>
        <v>chauas_5_274_Tabebuia cassinoides</v>
      </c>
      <c r="J409" s="6" t="n">
        <f aca="false">IF(COUNTIF($I$2:I409,I409)=1,1,0)</f>
        <v>1</v>
      </c>
      <c r="K409" s="6" t="n">
        <f aca="false">E409*$Q$2</f>
        <v>33</v>
      </c>
      <c r="L409" s="7" t="n">
        <f aca="false">K409/PI()</f>
        <v>10.5042262440651</v>
      </c>
      <c r="M409" s="8" t="n">
        <f aca="false">PI()*L409^2/40000</f>
        <v>0.0086659866513537</v>
      </c>
      <c r="N409" s="7" t="n">
        <f aca="false">F409*$Q$3</f>
        <v>14</v>
      </c>
      <c r="O409" s="3"/>
      <c r="P409" s="3"/>
      <c r="Q409" s="3"/>
    </row>
    <row r="410" customFormat="false" ht="15" hidden="false" customHeight="false" outlineLevel="0" collapsed="false">
      <c r="A410" s="2" t="s">
        <v>32</v>
      </c>
      <c r="B410" s="2" t="n">
        <v>5</v>
      </c>
      <c r="C410" s="2" t="n">
        <v>275</v>
      </c>
      <c r="D410" s="2" t="n">
        <v>1</v>
      </c>
      <c r="E410" s="2" t="n">
        <v>300</v>
      </c>
      <c r="F410" s="2" t="n">
        <v>80</v>
      </c>
      <c r="G410" s="2" t="s">
        <v>33</v>
      </c>
      <c r="H410" s="6" t="str">
        <f aca="false">A410&amp;"_"&amp;B410</f>
        <v>chauas_5</v>
      </c>
      <c r="I410" s="6" t="str">
        <f aca="false">H410&amp;"_"&amp;C410&amp;"_"&amp;G410</f>
        <v>chauas_5_275_Myrcia sulfiflora</v>
      </c>
      <c r="J410" s="6" t="n">
        <f aca="false">IF(COUNTIF($I$2:I410,I410)=1,1,0)</f>
        <v>1</v>
      </c>
      <c r="K410" s="6" t="n">
        <f aca="false">E410*$Q$2</f>
        <v>30</v>
      </c>
      <c r="L410" s="7" t="n">
        <f aca="false">K410/PI()</f>
        <v>9.54929658551372</v>
      </c>
      <c r="M410" s="8" t="n">
        <f aca="false">PI()*L410^2/40000</f>
        <v>0.00716197243913529</v>
      </c>
      <c r="N410" s="7" t="n">
        <f aca="false">F410*$Q$3</f>
        <v>8</v>
      </c>
      <c r="O410" s="3"/>
      <c r="P410" s="3"/>
      <c r="Q410" s="3"/>
    </row>
    <row r="411" customFormat="false" ht="15" hidden="false" customHeight="false" outlineLevel="0" collapsed="false">
      <c r="A411" s="2" t="s">
        <v>32</v>
      </c>
      <c r="B411" s="2" t="n">
        <v>5</v>
      </c>
      <c r="C411" s="2" t="n">
        <v>276</v>
      </c>
      <c r="D411" s="2" t="n">
        <v>1</v>
      </c>
      <c r="E411" s="2" t="n">
        <v>180</v>
      </c>
      <c r="F411" s="2" t="n">
        <v>40</v>
      </c>
      <c r="G411" s="2" t="s">
        <v>37</v>
      </c>
      <c r="H411" s="6" t="str">
        <f aca="false">A411&amp;"_"&amp;B411</f>
        <v>chauas_5</v>
      </c>
      <c r="I411" s="6" t="str">
        <f aca="false">H411&amp;"_"&amp;C411&amp;"_"&amp;G411</f>
        <v>chauas_5_276_Tabebuia cassinoides</v>
      </c>
      <c r="J411" s="6" t="n">
        <f aca="false">IF(COUNTIF($I$2:I411,I411)=1,1,0)</f>
        <v>1</v>
      </c>
      <c r="K411" s="6" t="n">
        <f aca="false">E411*$Q$2</f>
        <v>18</v>
      </c>
      <c r="L411" s="7" t="n">
        <f aca="false">K411/PI()</f>
        <v>5.72957795130823</v>
      </c>
      <c r="M411" s="8" t="n">
        <f aca="false">PI()*L411^2/40000</f>
        <v>0.0025783100780887</v>
      </c>
      <c r="N411" s="7" t="n">
        <f aca="false">F411*$Q$3</f>
        <v>4</v>
      </c>
      <c r="O411" s="3"/>
      <c r="P411" s="3"/>
      <c r="Q411" s="3"/>
    </row>
    <row r="412" customFormat="false" ht="15" hidden="false" customHeight="false" outlineLevel="0" collapsed="false">
      <c r="A412" s="2" t="s">
        <v>32</v>
      </c>
      <c r="B412" s="2" t="n">
        <v>5</v>
      </c>
      <c r="C412" s="2" t="n">
        <v>277</v>
      </c>
      <c r="D412" s="2" t="n">
        <v>1</v>
      </c>
      <c r="E412" s="2" t="n">
        <v>460</v>
      </c>
      <c r="F412" s="2" t="n">
        <v>130</v>
      </c>
      <c r="G412" s="2" t="s">
        <v>37</v>
      </c>
      <c r="H412" s="6" t="str">
        <f aca="false">A412&amp;"_"&amp;B412</f>
        <v>chauas_5</v>
      </c>
      <c r="I412" s="6" t="str">
        <f aca="false">H412&amp;"_"&amp;C412&amp;"_"&amp;G412</f>
        <v>chauas_5_277_Tabebuia cassinoides</v>
      </c>
      <c r="J412" s="6" t="n">
        <f aca="false">IF(COUNTIF($I$2:I412,I412)=1,1,0)</f>
        <v>1</v>
      </c>
      <c r="K412" s="6" t="n">
        <f aca="false">E412*$Q$2</f>
        <v>46</v>
      </c>
      <c r="L412" s="7" t="n">
        <f aca="false">K412/PI()</f>
        <v>14.6422547644544</v>
      </c>
      <c r="M412" s="8" t="n">
        <f aca="false">PI()*L412^2/40000</f>
        <v>0.0168385929791225</v>
      </c>
      <c r="N412" s="7" t="n">
        <f aca="false">F412*$Q$3</f>
        <v>13</v>
      </c>
      <c r="O412" s="3"/>
      <c r="P412" s="3"/>
      <c r="Q412" s="3"/>
    </row>
    <row r="413" customFormat="false" ht="15" hidden="false" customHeight="false" outlineLevel="0" collapsed="false">
      <c r="A413" s="2" t="s">
        <v>32</v>
      </c>
      <c r="B413" s="2" t="n">
        <v>5</v>
      </c>
      <c r="C413" s="2" t="n">
        <v>278</v>
      </c>
      <c r="D413" s="2" t="n">
        <v>1</v>
      </c>
      <c r="E413" s="2" t="n">
        <v>390</v>
      </c>
      <c r="F413" s="2" t="n">
        <v>150</v>
      </c>
      <c r="G413" s="2" t="s">
        <v>37</v>
      </c>
      <c r="H413" s="6" t="str">
        <f aca="false">A413&amp;"_"&amp;B413</f>
        <v>chauas_5</v>
      </c>
      <c r="I413" s="6" t="str">
        <f aca="false">H413&amp;"_"&amp;C413&amp;"_"&amp;G413</f>
        <v>chauas_5_278_Tabebuia cassinoides</v>
      </c>
      <c r="J413" s="6" t="n">
        <f aca="false">IF(COUNTIF($I$2:I413,I413)=1,1,0)</f>
        <v>1</v>
      </c>
      <c r="K413" s="6" t="n">
        <f aca="false">E413*$Q$2</f>
        <v>39</v>
      </c>
      <c r="L413" s="7" t="n">
        <f aca="false">K413/PI()</f>
        <v>12.4140855611678</v>
      </c>
      <c r="M413" s="8" t="n">
        <f aca="false">PI()*L413^2/40000</f>
        <v>0.0121037334221386</v>
      </c>
      <c r="N413" s="7" t="n">
        <f aca="false">F413*$Q$3</f>
        <v>15</v>
      </c>
      <c r="O413" s="3"/>
      <c r="P413" s="3"/>
      <c r="Q413" s="3"/>
    </row>
    <row r="414" customFormat="false" ht="15" hidden="false" customHeight="false" outlineLevel="0" collapsed="false">
      <c r="A414" s="2" t="s">
        <v>32</v>
      </c>
      <c r="B414" s="2" t="n">
        <v>5</v>
      </c>
      <c r="C414" s="2" t="n">
        <v>279</v>
      </c>
      <c r="D414" s="2" t="n">
        <v>1</v>
      </c>
      <c r="E414" s="2" t="n">
        <v>300</v>
      </c>
      <c r="F414" s="2" t="n">
        <v>140</v>
      </c>
      <c r="G414" s="2" t="s">
        <v>37</v>
      </c>
      <c r="H414" s="6" t="str">
        <f aca="false">A414&amp;"_"&amp;B414</f>
        <v>chauas_5</v>
      </c>
      <c r="I414" s="6" t="str">
        <f aca="false">H414&amp;"_"&amp;C414&amp;"_"&amp;G414</f>
        <v>chauas_5_279_Tabebuia cassinoides</v>
      </c>
      <c r="J414" s="6" t="n">
        <f aca="false">IF(COUNTIF($I$2:I414,I414)=1,1,0)</f>
        <v>1</v>
      </c>
      <c r="K414" s="6" t="n">
        <f aca="false">E414*$Q$2</f>
        <v>30</v>
      </c>
      <c r="L414" s="7" t="n">
        <f aca="false">K414/PI()</f>
        <v>9.54929658551372</v>
      </c>
      <c r="M414" s="8" t="n">
        <f aca="false">PI()*L414^2/40000</f>
        <v>0.00716197243913529</v>
      </c>
      <c r="N414" s="7" t="n">
        <f aca="false">F414*$Q$3</f>
        <v>14</v>
      </c>
      <c r="O414" s="3"/>
      <c r="P414" s="3"/>
      <c r="Q414" s="3"/>
    </row>
    <row r="415" customFormat="false" ht="15" hidden="false" customHeight="false" outlineLevel="0" collapsed="false">
      <c r="A415" s="2" t="s">
        <v>32</v>
      </c>
      <c r="B415" s="2" t="n">
        <v>5</v>
      </c>
      <c r="C415" s="2" t="n">
        <v>280</v>
      </c>
      <c r="D415" s="2" t="n">
        <v>1</v>
      </c>
      <c r="E415" s="2" t="n">
        <v>510</v>
      </c>
      <c r="F415" s="2" t="n">
        <v>120</v>
      </c>
      <c r="G415" s="2" t="s">
        <v>37</v>
      </c>
      <c r="H415" s="6" t="str">
        <f aca="false">A415&amp;"_"&amp;B415</f>
        <v>chauas_5</v>
      </c>
      <c r="I415" s="6" t="str">
        <f aca="false">H415&amp;"_"&amp;C415&amp;"_"&amp;G415</f>
        <v>chauas_5_280_Tabebuia cassinoides</v>
      </c>
      <c r="J415" s="6" t="n">
        <f aca="false">IF(COUNTIF($I$2:I415,I415)=1,1,0)</f>
        <v>1</v>
      </c>
      <c r="K415" s="6" t="n">
        <f aca="false">E415*$Q$2</f>
        <v>51</v>
      </c>
      <c r="L415" s="7" t="n">
        <f aca="false">K415/PI()</f>
        <v>16.2338041953733</v>
      </c>
      <c r="M415" s="8" t="n">
        <f aca="false">PI()*L415^2/40000</f>
        <v>0.020698100349101</v>
      </c>
      <c r="N415" s="7" t="n">
        <f aca="false">F415*$Q$3</f>
        <v>12</v>
      </c>
      <c r="O415" s="3"/>
      <c r="P415" s="3"/>
      <c r="Q415" s="3"/>
    </row>
    <row r="416" customFormat="false" ht="15" hidden="false" customHeight="false" outlineLevel="0" collapsed="false">
      <c r="A416" s="2" t="s">
        <v>32</v>
      </c>
      <c r="B416" s="2" t="n">
        <v>5</v>
      </c>
      <c r="C416" s="2" t="n">
        <v>281</v>
      </c>
      <c r="D416" s="2" t="n">
        <v>1</v>
      </c>
      <c r="E416" s="2" t="n">
        <v>420</v>
      </c>
      <c r="F416" s="2" t="n">
        <v>90</v>
      </c>
      <c r="G416" s="2" t="s">
        <v>37</v>
      </c>
      <c r="H416" s="6" t="str">
        <f aca="false">A416&amp;"_"&amp;B416</f>
        <v>chauas_5</v>
      </c>
      <c r="I416" s="6" t="str">
        <f aca="false">H416&amp;"_"&amp;C416&amp;"_"&amp;G416</f>
        <v>chauas_5_281_Tabebuia cassinoides</v>
      </c>
      <c r="J416" s="6" t="n">
        <f aca="false">IF(COUNTIF($I$2:I416,I416)=1,1,0)</f>
        <v>1</v>
      </c>
      <c r="K416" s="6" t="n">
        <f aca="false">E416*$Q$2</f>
        <v>42</v>
      </c>
      <c r="L416" s="7" t="n">
        <f aca="false">K416/PI()</f>
        <v>13.3690152197192</v>
      </c>
      <c r="M416" s="8" t="n">
        <f aca="false">PI()*L416^2/40000</f>
        <v>0.0140374659807052</v>
      </c>
      <c r="N416" s="7" t="n">
        <f aca="false">F416*$Q$3</f>
        <v>9</v>
      </c>
      <c r="O416" s="3"/>
      <c r="P416" s="3"/>
      <c r="Q416" s="3"/>
    </row>
    <row r="417" customFormat="false" ht="15" hidden="false" customHeight="false" outlineLevel="0" collapsed="false">
      <c r="A417" s="2" t="s">
        <v>32</v>
      </c>
      <c r="B417" s="2" t="n">
        <v>5</v>
      </c>
      <c r="C417" s="2" t="n">
        <v>282</v>
      </c>
      <c r="D417" s="2" t="n">
        <v>1</v>
      </c>
      <c r="E417" s="2" t="n">
        <v>390</v>
      </c>
      <c r="F417" s="2" t="n">
        <v>120</v>
      </c>
      <c r="G417" s="2" t="s">
        <v>37</v>
      </c>
      <c r="H417" s="6" t="str">
        <f aca="false">A417&amp;"_"&amp;B417</f>
        <v>chauas_5</v>
      </c>
      <c r="I417" s="6" t="str">
        <f aca="false">H417&amp;"_"&amp;C417&amp;"_"&amp;G417</f>
        <v>chauas_5_282_Tabebuia cassinoides</v>
      </c>
      <c r="J417" s="6" t="n">
        <f aca="false">IF(COUNTIF($I$2:I417,I417)=1,1,0)</f>
        <v>1</v>
      </c>
      <c r="K417" s="6" t="n">
        <f aca="false">E417*$Q$2</f>
        <v>39</v>
      </c>
      <c r="L417" s="7" t="n">
        <f aca="false">K417/PI()</f>
        <v>12.4140855611678</v>
      </c>
      <c r="M417" s="8" t="n">
        <f aca="false">PI()*L417^2/40000</f>
        <v>0.0121037334221386</v>
      </c>
      <c r="N417" s="7" t="n">
        <f aca="false">F417*$Q$3</f>
        <v>12</v>
      </c>
      <c r="O417" s="3"/>
      <c r="P417" s="3"/>
      <c r="Q417" s="3"/>
    </row>
    <row r="418" customFormat="false" ht="15" hidden="false" customHeight="false" outlineLevel="0" collapsed="false">
      <c r="A418" s="2" t="s">
        <v>32</v>
      </c>
      <c r="B418" s="2" t="n">
        <v>5</v>
      </c>
      <c r="C418" s="2" t="n">
        <v>283</v>
      </c>
      <c r="D418" s="2" t="n">
        <v>1</v>
      </c>
      <c r="E418" s="2" t="n">
        <v>710</v>
      </c>
      <c r="F418" s="2" t="n">
        <v>150</v>
      </c>
      <c r="G418" s="2" t="s">
        <v>37</v>
      </c>
      <c r="H418" s="6" t="str">
        <f aca="false">A418&amp;"_"&amp;B418</f>
        <v>chauas_5</v>
      </c>
      <c r="I418" s="6" t="str">
        <f aca="false">H418&amp;"_"&amp;C418&amp;"_"&amp;G418</f>
        <v>chauas_5_283_Tabebuia cassinoides</v>
      </c>
      <c r="J418" s="6" t="n">
        <f aca="false">IF(COUNTIF($I$2:I418,I418)=1,1,0)</f>
        <v>1</v>
      </c>
      <c r="K418" s="6" t="n">
        <f aca="false">E418*$Q$2</f>
        <v>71</v>
      </c>
      <c r="L418" s="7" t="n">
        <f aca="false">K418/PI()</f>
        <v>22.6000019190491</v>
      </c>
      <c r="M418" s="8" t="n">
        <f aca="false">PI()*L418^2/40000</f>
        <v>0.0401150034063122</v>
      </c>
      <c r="N418" s="7" t="n">
        <f aca="false">F418*$Q$3</f>
        <v>15</v>
      </c>
      <c r="O418" s="3"/>
      <c r="P418" s="3"/>
      <c r="Q418" s="3"/>
    </row>
    <row r="419" customFormat="false" ht="15" hidden="false" customHeight="false" outlineLevel="0" collapsed="false">
      <c r="A419" s="2" t="s">
        <v>32</v>
      </c>
      <c r="B419" s="2" t="n">
        <v>5</v>
      </c>
      <c r="C419" s="2" t="n">
        <v>284</v>
      </c>
      <c r="D419" s="2" t="n">
        <v>1</v>
      </c>
      <c r="E419" s="2" t="n">
        <v>360</v>
      </c>
      <c r="F419" s="2" t="n">
        <v>70</v>
      </c>
      <c r="G419" s="2" t="s">
        <v>37</v>
      </c>
      <c r="H419" s="6" t="str">
        <f aca="false">A419&amp;"_"&amp;B419</f>
        <v>chauas_5</v>
      </c>
      <c r="I419" s="6" t="str">
        <f aca="false">H419&amp;"_"&amp;C419&amp;"_"&amp;G419</f>
        <v>chauas_5_284_Tabebuia cassinoides</v>
      </c>
      <c r="J419" s="6" t="n">
        <f aca="false">IF(COUNTIF($I$2:I419,I419)=1,1,0)</f>
        <v>1</v>
      </c>
      <c r="K419" s="6" t="n">
        <f aca="false">E419*$Q$2</f>
        <v>36</v>
      </c>
      <c r="L419" s="7" t="n">
        <f aca="false">K419/PI()</f>
        <v>11.4591559026165</v>
      </c>
      <c r="M419" s="8" t="n">
        <f aca="false">PI()*L419^2/40000</f>
        <v>0.0103132403123548</v>
      </c>
      <c r="N419" s="7" t="n">
        <f aca="false">F419*$Q$3</f>
        <v>7</v>
      </c>
      <c r="O419" s="3"/>
      <c r="P419" s="3"/>
      <c r="Q419" s="3"/>
    </row>
    <row r="420" customFormat="false" ht="15" hidden="false" customHeight="false" outlineLevel="0" collapsed="false">
      <c r="A420" s="2" t="s">
        <v>32</v>
      </c>
      <c r="B420" s="2" t="n">
        <v>5</v>
      </c>
      <c r="C420" s="2" t="n">
        <v>285</v>
      </c>
      <c r="D420" s="2" t="n">
        <v>1</v>
      </c>
      <c r="E420" s="2" t="n">
        <v>180</v>
      </c>
      <c r="F420" s="2" t="n">
        <v>80</v>
      </c>
      <c r="G420" s="2" t="s">
        <v>33</v>
      </c>
      <c r="H420" s="6" t="str">
        <f aca="false">A420&amp;"_"&amp;B420</f>
        <v>chauas_5</v>
      </c>
      <c r="I420" s="6" t="str">
        <f aca="false">H420&amp;"_"&amp;C420&amp;"_"&amp;G420</f>
        <v>chauas_5_285_Myrcia sulfiflora</v>
      </c>
      <c r="J420" s="6" t="n">
        <f aca="false">IF(COUNTIF($I$2:I420,I420)=1,1,0)</f>
        <v>1</v>
      </c>
      <c r="K420" s="6" t="n">
        <f aca="false">E420*$Q$2</f>
        <v>18</v>
      </c>
      <c r="L420" s="7" t="n">
        <f aca="false">K420/PI()</f>
        <v>5.72957795130823</v>
      </c>
      <c r="M420" s="8" t="n">
        <f aca="false">PI()*L420^2/40000</f>
        <v>0.0025783100780887</v>
      </c>
      <c r="N420" s="7" t="n">
        <f aca="false">F420*$Q$3</f>
        <v>8</v>
      </c>
      <c r="O420" s="3"/>
      <c r="P420" s="3"/>
      <c r="Q420" s="3"/>
    </row>
    <row r="421" customFormat="false" ht="15" hidden="false" customHeight="false" outlineLevel="0" collapsed="false">
      <c r="A421" s="2" t="s">
        <v>32</v>
      </c>
      <c r="B421" s="2" t="n">
        <v>5</v>
      </c>
      <c r="C421" s="2" t="n">
        <v>286</v>
      </c>
      <c r="D421" s="2" t="n">
        <v>1</v>
      </c>
      <c r="E421" s="2" t="n">
        <v>310</v>
      </c>
      <c r="F421" s="2" t="n">
        <v>70</v>
      </c>
      <c r="G421" s="2" t="s">
        <v>37</v>
      </c>
      <c r="H421" s="6" t="str">
        <f aca="false">A421&amp;"_"&amp;B421</f>
        <v>chauas_5</v>
      </c>
      <c r="I421" s="6" t="str">
        <f aca="false">H421&amp;"_"&amp;C421&amp;"_"&amp;G421</f>
        <v>chauas_5_286_Tabebuia cassinoides</v>
      </c>
      <c r="J421" s="6" t="n">
        <f aca="false">IF(COUNTIF($I$2:I421,I421)=1,1,0)</f>
        <v>1</v>
      </c>
      <c r="K421" s="6" t="n">
        <f aca="false">E421*$Q$2</f>
        <v>31</v>
      </c>
      <c r="L421" s="7" t="n">
        <f aca="false">K421/PI()</f>
        <v>9.86760647169751</v>
      </c>
      <c r="M421" s="8" t="n">
        <f aca="false">PI()*L421^2/40000</f>
        <v>0.00764739501556557</v>
      </c>
      <c r="N421" s="7" t="n">
        <f aca="false">F421*$Q$3</f>
        <v>7</v>
      </c>
      <c r="O421" s="3"/>
      <c r="P421" s="3"/>
      <c r="Q421" s="3"/>
    </row>
    <row r="422" customFormat="false" ht="15" hidden="false" customHeight="false" outlineLevel="0" collapsed="false">
      <c r="A422" s="2" t="s">
        <v>32</v>
      </c>
      <c r="B422" s="2" t="n">
        <v>5</v>
      </c>
      <c r="C422" s="2" t="n">
        <v>286</v>
      </c>
      <c r="D422" s="2" t="n">
        <v>2</v>
      </c>
      <c r="E422" s="2" t="n">
        <v>370</v>
      </c>
      <c r="F422" s="2" t="n">
        <v>70</v>
      </c>
      <c r="G422" s="2" t="s">
        <v>37</v>
      </c>
      <c r="H422" s="6" t="str">
        <f aca="false">A422&amp;"_"&amp;B422</f>
        <v>chauas_5</v>
      </c>
      <c r="I422" s="6" t="str">
        <f aca="false">H422&amp;"_"&amp;C422&amp;"_"&amp;G422</f>
        <v>chauas_5_286_Tabebuia cassinoides</v>
      </c>
      <c r="J422" s="6" t="n">
        <f aca="false">IF(COUNTIF($I$2:I422,I422)=1,1,0)</f>
        <v>0</v>
      </c>
      <c r="K422" s="6" t="n">
        <f aca="false">E422*$Q$2</f>
        <v>37</v>
      </c>
      <c r="L422" s="7" t="n">
        <f aca="false">K422/PI()</f>
        <v>11.7774657888003</v>
      </c>
      <c r="M422" s="8" t="n">
        <f aca="false">PI()*L422^2/40000</f>
        <v>0.0108941558546402</v>
      </c>
      <c r="N422" s="7" t="n">
        <f aca="false">F422*$Q$3</f>
        <v>7</v>
      </c>
      <c r="O422" s="3"/>
      <c r="P422" s="3"/>
      <c r="Q422" s="3"/>
    </row>
    <row r="423" customFormat="false" ht="15" hidden="false" customHeight="false" outlineLevel="0" collapsed="false">
      <c r="A423" s="2" t="s">
        <v>32</v>
      </c>
      <c r="B423" s="2" t="n">
        <v>5</v>
      </c>
      <c r="C423" s="2" t="n">
        <v>287</v>
      </c>
      <c r="D423" s="2" t="n">
        <v>1</v>
      </c>
      <c r="E423" s="2" t="n">
        <v>790</v>
      </c>
      <c r="F423" s="2" t="n">
        <v>150</v>
      </c>
      <c r="G423" s="2" t="s">
        <v>37</v>
      </c>
      <c r="H423" s="6" t="str">
        <f aca="false">A423&amp;"_"&amp;B423</f>
        <v>chauas_5</v>
      </c>
      <c r="I423" s="6" t="str">
        <f aca="false">H423&amp;"_"&amp;C423&amp;"_"&amp;G423</f>
        <v>chauas_5_287_Tabebuia cassinoides</v>
      </c>
      <c r="J423" s="6" t="n">
        <f aca="false">IF(COUNTIF($I$2:I423,I423)=1,1,0)</f>
        <v>1</v>
      </c>
      <c r="K423" s="6" t="n">
        <f aca="false">E423*$Q$2</f>
        <v>79</v>
      </c>
      <c r="L423" s="7" t="n">
        <f aca="false">K423/PI()</f>
        <v>25.1464810085195</v>
      </c>
      <c r="M423" s="8" t="n">
        <f aca="false">PI()*L423^2/40000</f>
        <v>0.049664299991826</v>
      </c>
      <c r="N423" s="7" t="n">
        <f aca="false">F423*$Q$3</f>
        <v>15</v>
      </c>
      <c r="O423" s="3"/>
      <c r="P423" s="3"/>
      <c r="Q423" s="3"/>
    </row>
    <row r="424" customFormat="false" ht="15" hidden="false" customHeight="false" outlineLevel="0" collapsed="false">
      <c r="A424" s="2" t="s">
        <v>32</v>
      </c>
      <c r="B424" s="2" t="n">
        <v>5</v>
      </c>
      <c r="C424" s="2" t="n">
        <v>288</v>
      </c>
      <c r="D424" s="2" t="n">
        <v>1</v>
      </c>
      <c r="E424" s="2" t="n">
        <v>500</v>
      </c>
      <c r="F424" s="2" t="n">
        <v>140</v>
      </c>
      <c r="G424" s="2" t="s">
        <v>37</v>
      </c>
      <c r="H424" s="6" t="str">
        <f aca="false">A424&amp;"_"&amp;B424</f>
        <v>chauas_5</v>
      </c>
      <c r="I424" s="6" t="str">
        <f aca="false">H424&amp;"_"&amp;C424&amp;"_"&amp;G424</f>
        <v>chauas_5_288_Tabebuia cassinoides</v>
      </c>
      <c r="J424" s="6" t="n">
        <f aca="false">IF(COUNTIF($I$2:I424,I424)=1,1,0)</f>
        <v>1</v>
      </c>
      <c r="K424" s="6" t="n">
        <f aca="false">E424*$Q$2</f>
        <v>50</v>
      </c>
      <c r="L424" s="7" t="n">
        <f aca="false">K424/PI()</f>
        <v>15.9154943091895</v>
      </c>
      <c r="M424" s="8" t="n">
        <f aca="false">PI()*L424^2/40000</f>
        <v>0.0198943678864869</v>
      </c>
      <c r="N424" s="7" t="n">
        <f aca="false">F424*$Q$3</f>
        <v>14</v>
      </c>
      <c r="O424" s="3"/>
      <c r="P424" s="3"/>
      <c r="Q424" s="3"/>
    </row>
    <row r="425" customFormat="false" ht="15" hidden="false" customHeight="false" outlineLevel="0" collapsed="false">
      <c r="A425" s="2" t="s">
        <v>32</v>
      </c>
      <c r="B425" s="2" t="n">
        <v>5</v>
      </c>
      <c r="C425" s="2" t="n">
        <v>289</v>
      </c>
      <c r="D425" s="2" t="n">
        <v>1</v>
      </c>
      <c r="E425" s="2" t="n">
        <v>470</v>
      </c>
      <c r="F425" s="2" t="n">
        <v>90</v>
      </c>
      <c r="G425" s="2" t="s">
        <v>37</v>
      </c>
      <c r="H425" s="6" t="str">
        <f aca="false">A425&amp;"_"&amp;B425</f>
        <v>chauas_5</v>
      </c>
      <c r="I425" s="6" t="str">
        <f aca="false">H425&amp;"_"&amp;C425&amp;"_"&amp;G425</f>
        <v>chauas_5_289_Tabebuia cassinoides</v>
      </c>
      <c r="J425" s="6" t="n">
        <f aca="false">IF(COUNTIF($I$2:I425,I425)=1,1,0)</f>
        <v>1</v>
      </c>
      <c r="K425" s="6" t="n">
        <f aca="false">E425*$Q$2</f>
        <v>47</v>
      </c>
      <c r="L425" s="7" t="n">
        <f aca="false">K425/PI()</f>
        <v>14.9605646506382</v>
      </c>
      <c r="M425" s="8" t="n">
        <f aca="false">PI()*L425^2/40000</f>
        <v>0.0175786634644998</v>
      </c>
      <c r="N425" s="7" t="n">
        <f aca="false">F425*$Q$3</f>
        <v>9</v>
      </c>
      <c r="O425" s="3"/>
      <c r="P425" s="3"/>
      <c r="Q425" s="3"/>
    </row>
    <row r="426" customFormat="false" ht="15" hidden="false" customHeight="false" outlineLevel="0" collapsed="false">
      <c r="A426" s="2" t="s">
        <v>32</v>
      </c>
      <c r="B426" s="2" t="n">
        <v>5</v>
      </c>
      <c r="C426" s="2" t="n">
        <v>290</v>
      </c>
      <c r="D426" s="2" t="n">
        <v>1</v>
      </c>
      <c r="E426" s="2" t="n">
        <v>410</v>
      </c>
      <c r="F426" s="2" t="n">
        <v>150</v>
      </c>
      <c r="G426" s="2" t="s">
        <v>33</v>
      </c>
      <c r="H426" s="6" t="str">
        <f aca="false">A426&amp;"_"&amp;B426</f>
        <v>chauas_5</v>
      </c>
      <c r="I426" s="6" t="str">
        <f aca="false">H426&amp;"_"&amp;C426&amp;"_"&amp;G426</f>
        <v>chauas_5_290_Myrcia sulfiflora</v>
      </c>
      <c r="J426" s="6" t="n">
        <f aca="false">IF(COUNTIF($I$2:I426,I426)=1,1,0)</f>
        <v>1</v>
      </c>
      <c r="K426" s="6" t="n">
        <f aca="false">E426*$Q$2</f>
        <v>41</v>
      </c>
      <c r="L426" s="7" t="n">
        <f aca="false">K426/PI()</f>
        <v>13.0507053335354</v>
      </c>
      <c r="M426" s="8" t="n">
        <f aca="false">PI()*L426^2/40000</f>
        <v>0.0133769729668738</v>
      </c>
      <c r="N426" s="7" t="n">
        <f aca="false">F426*$Q$3</f>
        <v>15</v>
      </c>
      <c r="O426" s="3"/>
      <c r="P426" s="3"/>
      <c r="Q426" s="3"/>
    </row>
    <row r="427" customFormat="false" ht="15" hidden="false" customHeight="false" outlineLevel="0" collapsed="false">
      <c r="A427" s="2" t="s">
        <v>32</v>
      </c>
      <c r="B427" s="2" t="n">
        <v>5</v>
      </c>
      <c r="C427" s="2" t="n">
        <v>291</v>
      </c>
      <c r="D427" s="2" t="n">
        <v>1</v>
      </c>
      <c r="E427" s="2" t="n">
        <v>240</v>
      </c>
      <c r="F427" s="2" t="n">
        <v>100</v>
      </c>
      <c r="G427" s="2" t="s">
        <v>33</v>
      </c>
      <c r="H427" s="6" t="str">
        <f aca="false">A427&amp;"_"&amp;B427</f>
        <v>chauas_5</v>
      </c>
      <c r="I427" s="6" t="str">
        <f aca="false">H427&amp;"_"&amp;C427&amp;"_"&amp;G427</f>
        <v>chauas_5_291_Myrcia sulfiflora</v>
      </c>
      <c r="J427" s="6" t="n">
        <f aca="false">IF(COUNTIF($I$2:I427,I427)=1,1,0)</f>
        <v>1</v>
      </c>
      <c r="K427" s="6" t="n">
        <f aca="false">E427*$Q$2</f>
        <v>24</v>
      </c>
      <c r="L427" s="7" t="n">
        <f aca="false">K427/PI()</f>
        <v>7.63943726841098</v>
      </c>
      <c r="M427" s="8" t="n">
        <f aca="false">PI()*L427^2/40000</f>
        <v>0.00458366236104659</v>
      </c>
      <c r="N427" s="7" t="n">
        <f aca="false">F427*$Q$3</f>
        <v>10</v>
      </c>
      <c r="O427" s="3"/>
      <c r="P427" s="3"/>
      <c r="Q427" s="3"/>
    </row>
    <row r="428" customFormat="false" ht="15" hidden="false" customHeight="false" outlineLevel="0" collapsed="false">
      <c r="A428" s="2" t="s">
        <v>50</v>
      </c>
      <c r="B428" s="2" t="n">
        <v>1</v>
      </c>
      <c r="C428" s="2" t="n">
        <v>1</v>
      </c>
      <c r="D428" s="2" t="n">
        <v>1</v>
      </c>
      <c r="E428" s="2" t="n">
        <v>980</v>
      </c>
      <c r="F428" s="2" t="n">
        <v>150</v>
      </c>
      <c r="G428" s="2" t="s">
        <v>37</v>
      </c>
      <c r="H428" s="6" t="str">
        <f aca="false">A428&amp;"_"&amp;B428</f>
        <v>jureia_1</v>
      </c>
      <c r="I428" s="6" t="str">
        <f aca="false">H428&amp;"_"&amp;C428&amp;"_"&amp;G428</f>
        <v>jureia_1_1_Tabebuia cassinoides</v>
      </c>
      <c r="J428" s="6" t="n">
        <f aca="false">IF(COUNTIF($I$2:I428,I428)=1,1,0)</f>
        <v>1</v>
      </c>
      <c r="K428" s="6" t="n">
        <f aca="false">E428*$Q$2</f>
        <v>98</v>
      </c>
      <c r="L428" s="7" t="n">
        <f aca="false">K428/PI()</f>
        <v>31.1943688460115</v>
      </c>
      <c r="M428" s="8" t="n">
        <f aca="false">PI()*L428^2/40000</f>
        <v>0.0764262036727281</v>
      </c>
      <c r="N428" s="7" t="n">
        <f aca="false">F428*$Q$3</f>
        <v>15</v>
      </c>
      <c r="O428" s="3"/>
      <c r="P428" s="3"/>
      <c r="Q428" s="3"/>
    </row>
    <row r="429" customFormat="false" ht="15" hidden="false" customHeight="false" outlineLevel="0" collapsed="false">
      <c r="A429" s="2" t="s">
        <v>50</v>
      </c>
      <c r="B429" s="2" t="n">
        <v>1</v>
      </c>
      <c r="C429" s="2" t="n">
        <v>2</v>
      </c>
      <c r="D429" s="2" t="n">
        <v>1</v>
      </c>
      <c r="E429" s="2" t="n">
        <v>430</v>
      </c>
      <c r="F429" s="2" t="n">
        <v>140</v>
      </c>
      <c r="G429" s="2" t="s">
        <v>51</v>
      </c>
      <c r="H429" s="6" t="str">
        <f aca="false">A429&amp;"_"&amp;B429</f>
        <v>jureia_1</v>
      </c>
      <c r="I429" s="6" t="str">
        <f aca="false">H429&amp;"_"&amp;C429&amp;"_"&amp;G429</f>
        <v>jureia_1_2_Cabralea canjerana</v>
      </c>
      <c r="J429" s="6" t="n">
        <f aca="false">IF(COUNTIF($I$2:I429,I429)=1,1,0)</f>
        <v>1</v>
      </c>
      <c r="K429" s="6" t="n">
        <f aca="false">E429*$Q$2</f>
        <v>43</v>
      </c>
      <c r="L429" s="7" t="n">
        <f aca="false">K429/PI()</f>
        <v>13.687325105903</v>
      </c>
      <c r="M429" s="8" t="n">
        <f aca="false">PI()*L429^2/40000</f>
        <v>0.0147138744888457</v>
      </c>
      <c r="N429" s="7" t="n">
        <f aca="false">F429*$Q$3</f>
        <v>14</v>
      </c>
      <c r="O429" s="3"/>
      <c r="P429" s="3"/>
      <c r="Q429" s="3"/>
    </row>
    <row r="430" customFormat="false" ht="15" hidden="false" customHeight="false" outlineLevel="0" collapsed="false">
      <c r="A430" s="2" t="s">
        <v>50</v>
      </c>
      <c r="B430" s="2" t="n">
        <v>1</v>
      </c>
      <c r="C430" s="2" t="n">
        <v>3</v>
      </c>
      <c r="D430" s="2" t="n">
        <v>1</v>
      </c>
      <c r="E430" s="2" t="n">
        <v>370</v>
      </c>
      <c r="F430" s="2" t="n">
        <v>100</v>
      </c>
      <c r="G430" s="2" t="s">
        <v>37</v>
      </c>
      <c r="H430" s="6" t="str">
        <f aca="false">A430&amp;"_"&amp;B430</f>
        <v>jureia_1</v>
      </c>
      <c r="I430" s="6" t="str">
        <f aca="false">H430&amp;"_"&amp;C430&amp;"_"&amp;G430</f>
        <v>jureia_1_3_Tabebuia cassinoides</v>
      </c>
      <c r="J430" s="6" t="n">
        <f aca="false">IF(COUNTIF($I$2:I430,I430)=1,1,0)</f>
        <v>1</v>
      </c>
      <c r="K430" s="6" t="n">
        <f aca="false">E430*$Q$2</f>
        <v>37</v>
      </c>
      <c r="L430" s="7" t="n">
        <f aca="false">K430/PI()</f>
        <v>11.7774657888003</v>
      </c>
      <c r="M430" s="8" t="n">
        <f aca="false">PI()*L430^2/40000</f>
        <v>0.0108941558546402</v>
      </c>
      <c r="N430" s="7" t="n">
        <f aca="false">F430*$Q$3</f>
        <v>10</v>
      </c>
      <c r="O430" s="3"/>
      <c r="P430" s="3"/>
      <c r="Q430" s="3"/>
    </row>
    <row r="431" customFormat="false" ht="15" hidden="false" customHeight="false" outlineLevel="0" collapsed="false">
      <c r="A431" s="2" t="s">
        <v>50</v>
      </c>
      <c r="B431" s="2" t="n">
        <v>1</v>
      </c>
      <c r="C431" s="2" t="n">
        <v>4</v>
      </c>
      <c r="D431" s="2" t="n">
        <v>1</v>
      </c>
      <c r="E431" s="2" t="n">
        <v>720</v>
      </c>
      <c r="F431" s="2" t="n">
        <v>150</v>
      </c>
      <c r="G431" s="2" t="s">
        <v>51</v>
      </c>
      <c r="H431" s="6" t="str">
        <f aca="false">A431&amp;"_"&amp;B431</f>
        <v>jureia_1</v>
      </c>
      <c r="I431" s="6" t="str">
        <f aca="false">H431&amp;"_"&amp;C431&amp;"_"&amp;G431</f>
        <v>jureia_1_4_Cabralea canjerana</v>
      </c>
      <c r="J431" s="6" t="n">
        <f aca="false">IF(COUNTIF($I$2:I431,I431)=1,1,0)</f>
        <v>1</v>
      </c>
      <c r="K431" s="6" t="n">
        <f aca="false">E431*$Q$2</f>
        <v>72</v>
      </c>
      <c r="L431" s="7" t="n">
        <f aca="false">K431/PI()</f>
        <v>22.9183118052329</v>
      </c>
      <c r="M431" s="8" t="n">
        <f aca="false">PI()*L431^2/40000</f>
        <v>0.0412529612494193</v>
      </c>
      <c r="N431" s="7" t="n">
        <f aca="false">F431*$Q$3</f>
        <v>15</v>
      </c>
      <c r="O431" s="3"/>
      <c r="P431" s="3"/>
      <c r="Q431" s="3"/>
    </row>
    <row r="432" customFormat="false" ht="15" hidden="false" customHeight="false" outlineLevel="0" collapsed="false">
      <c r="A432" s="2" t="s">
        <v>50</v>
      </c>
      <c r="B432" s="2" t="n">
        <v>1</v>
      </c>
      <c r="C432" s="2" t="n">
        <v>5</v>
      </c>
      <c r="D432" s="2" t="n">
        <v>1</v>
      </c>
      <c r="E432" s="2" t="n">
        <v>370</v>
      </c>
      <c r="F432" s="2" t="n">
        <v>110</v>
      </c>
      <c r="G432" s="2" t="s">
        <v>52</v>
      </c>
      <c r="H432" s="6" t="str">
        <f aca="false">A432&amp;"_"&amp;B432</f>
        <v>jureia_1</v>
      </c>
      <c r="I432" s="6" t="str">
        <f aca="false">H432&amp;"_"&amp;C432&amp;"_"&amp;G432</f>
        <v>jureia_1_5_jussara</v>
      </c>
      <c r="J432" s="6" t="n">
        <f aca="false">IF(COUNTIF($I$2:I432,I432)=1,1,0)</f>
        <v>1</v>
      </c>
      <c r="K432" s="6" t="n">
        <f aca="false">E432*$Q$2</f>
        <v>37</v>
      </c>
      <c r="L432" s="7" t="n">
        <f aca="false">K432/PI()</f>
        <v>11.7774657888003</v>
      </c>
      <c r="M432" s="8" t="n">
        <f aca="false">PI()*L432^2/40000</f>
        <v>0.0108941558546402</v>
      </c>
      <c r="N432" s="7" t="n">
        <f aca="false">F432*$Q$3</f>
        <v>11</v>
      </c>
      <c r="O432" s="3"/>
      <c r="P432" s="3"/>
      <c r="Q432" s="3"/>
    </row>
    <row r="433" customFormat="false" ht="15" hidden="false" customHeight="false" outlineLevel="0" collapsed="false">
      <c r="A433" s="2" t="s">
        <v>50</v>
      </c>
      <c r="B433" s="2" t="n">
        <v>1</v>
      </c>
      <c r="C433" s="2" t="n">
        <v>6</v>
      </c>
      <c r="D433" s="2" t="n">
        <v>1</v>
      </c>
      <c r="E433" s="2" t="n">
        <v>740</v>
      </c>
      <c r="F433" s="2" t="n">
        <v>140</v>
      </c>
      <c r="G433" s="2" t="s">
        <v>48</v>
      </c>
      <c r="H433" s="6" t="str">
        <f aca="false">A433&amp;"_"&amp;B433</f>
        <v>jureia_1</v>
      </c>
      <c r="I433" s="6" t="str">
        <f aca="false">H433&amp;"_"&amp;C433&amp;"_"&amp;G433</f>
        <v>jureia_1_6_Calophyllum brasiliensis</v>
      </c>
      <c r="J433" s="6" t="n">
        <f aca="false">IF(COUNTIF($I$2:I433,I433)=1,1,0)</f>
        <v>1</v>
      </c>
      <c r="K433" s="6" t="n">
        <f aca="false">E433*$Q$2</f>
        <v>74</v>
      </c>
      <c r="L433" s="7" t="n">
        <f aca="false">K433/PI()</f>
        <v>23.5549315776005</v>
      </c>
      <c r="M433" s="8" t="n">
        <f aca="false">PI()*L433^2/40000</f>
        <v>0.0435766234185609</v>
      </c>
      <c r="N433" s="7" t="n">
        <f aca="false">F433*$Q$3</f>
        <v>14</v>
      </c>
      <c r="O433" s="3"/>
      <c r="P433" s="3"/>
      <c r="Q433" s="3"/>
    </row>
    <row r="434" customFormat="false" ht="15" hidden="false" customHeight="false" outlineLevel="0" collapsed="false">
      <c r="A434" s="2" t="s">
        <v>50</v>
      </c>
      <c r="B434" s="2" t="n">
        <v>1</v>
      </c>
      <c r="C434" s="2" t="n">
        <v>7</v>
      </c>
      <c r="D434" s="2" t="n">
        <v>1</v>
      </c>
      <c r="E434" s="2" t="n">
        <v>390</v>
      </c>
      <c r="F434" s="2" t="n">
        <v>120</v>
      </c>
      <c r="G434" s="2" t="s">
        <v>52</v>
      </c>
      <c r="H434" s="6" t="str">
        <f aca="false">A434&amp;"_"&amp;B434</f>
        <v>jureia_1</v>
      </c>
      <c r="I434" s="6" t="str">
        <f aca="false">H434&amp;"_"&amp;C434&amp;"_"&amp;G434</f>
        <v>jureia_1_7_jussara</v>
      </c>
      <c r="J434" s="6" t="n">
        <f aca="false">IF(COUNTIF($I$2:I434,I434)=1,1,0)</f>
        <v>1</v>
      </c>
      <c r="K434" s="6" t="n">
        <f aca="false">E434*$Q$2</f>
        <v>39</v>
      </c>
      <c r="L434" s="7" t="n">
        <f aca="false">K434/PI()</f>
        <v>12.4140855611678</v>
      </c>
      <c r="M434" s="8" t="n">
        <f aca="false">PI()*L434^2/40000</f>
        <v>0.0121037334221386</v>
      </c>
      <c r="N434" s="7" t="n">
        <f aca="false">F434*$Q$3</f>
        <v>12</v>
      </c>
      <c r="O434" s="3"/>
      <c r="P434" s="3"/>
      <c r="Q434" s="3"/>
    </row>
    <row r="435" customFormat="false" ht="15" hidden="false" customHeight="false" outlineLevel="0" collapsed="false">
      <c r="A435" s="2" t="s">
        <v>50</v>
      </c>
      <c r="B435" s="2" t="n">
        <v>1</v>
      </c>
      <c r="C435" s="2" t="n">
        <v>8</v>
      </c>
      <c r="D435" s="2" t="n">
        <v>1</v>
      </c>
      <c r="E435" s="2" t="n">
        <v>170</v>
      </c>
      <c r="F435" s="2" t="n">
        <v>100</v>
      </c>
      <c r="G435" s="2" t="s">
        <v>53</v>
      </c>
      <c r="H435" s="6" t="str">
        <f aca="false">A435&amp;"_"&amp;B435</f>
        <v>jureia_1</v>
      </c>
      <c r="I435" s="6" t="str">
        <f aca="false">H435&amp;"_"&amp;C435&amp;"_"&amp;G435</f>
        <v>jureia_1_8_Pisonia sp</v>
      </c>
      <c r="J435" s="6" t="n">
        <f aca="false">IF(COUNTIF($I$2:I435,I435)=1,1,0)</f>
        <v>1</v>
      </c>
      <c r="K435" s="6" t="n">
        <f aca="false">E435*$Q$2</f>
        <v>17</v>
      </c>
      <c r="L435" s="7" t="n">
        <f aca="false">K435/PI()</f>
        <v>5.41126806512444</v>
      </c>
      <c r="M435" s="8" t="n">
        <f aca="false">PI()*L435^2/40000</f>
        <v>0.00229978892767789</v>
      </c>
      <c r="N435" s="7" t="n">
        <f aca="false">F435*$Q$3</f>
        <v>10</v>
      </c>
      <c r="O435" s="3"/>
      <c r="P435" s="3"/>
      <c r="Q435" s="3"/>
    </row>
    <row r="436" customFormat="false" ht="15" hidden="false" customHeight="false" outlineLevel="0" collapsed="false">
      <c r="A436" s="2" t="s">
        <v>50</v>
      </c>
      <c r="B436" s="2" t="n">
        <v>1</v>
      </c>
      <c r="C436" s="2" t="n">
        <v>9</v>
      </c>
      <c r="D436" s="2" t="n">
        <v>1</v>
      </c>
      <c r="E436" s="2" t="n">
        <v>370</v>
      </c>
      <c r="F436" s="2" t="n">
        <v>130</v>
      </c>
      <c r="G436" s="2" t="s">
        <v>54</v>
      </c>
      <c r="H436" s="6" t="str">
        <f aca="false">A436&amp;"_"&amp;B436</f>
        <v>jureia_1</v>
      </c>
      <c r="I436" s="6" t="str">
        <f aca="false">H436&amp;"_"&amp;C436&amp;"_"&amp;G436</f>
        <v>jureia_1_9_Matayba sp</v>
      </c>
      <c r="J436" s="6" t="n">
        <f aca="false">IF(COUNTIF($I$2:I436,I436)=1,1,0)</f>
        <v>1</v>
      </c>
      <c r="K436" s="6" t="n">
        <f aca="false">E436*$Q$2</f>
        <v>37</v>
      </c>
      <c r="L436" s="7" t="n">
        <f aca="false">K436/PI()</f>
        <v>11.7774657888003</v>
      </c>
      <c r="M436" s="8" t="n">
        <f aca="false">PI()*L436^2/40000</f>
        <v>0.0108941558546402</v>
      </c>
      <c r="N436" s="7" t="n">
        <f aca="false">F436*$Q$3</f>
        <v>13</v>
      </c>
      <c r="O436" s="3"/>
      <c r="P436" s="3"/>
      <c r="Q436" s="3"/>
    </row>
    <row r="437" customFormat="false" ht="15" hidden="false" customHeight="false" outlineLevel="0" collapsed="false">
      <c r="A437" s="2" t="s">
        <v>50</v>
      </c>
      <c r="B437" s="2" t="n">
        <v>1</v>
      </c>
      <c r="C437" s="2" t="n">
        <v>10</v>
      </c>
      <c r="D437" s="2" t="n">
        <v>1</v>
      </c>
      <c r="E437" s="2" t="n">
        <v>270</v>
      </c>
      <c r="F437" s="2" t="n">
        <v>100</v>
      </c>
      <c r="G437" s="2" t="s">
        <v>55</v>
      </c>
      <c r="H437" s="6" t="str">
        <f aca="false">A437&amp;"_"&amp;B437</f>
        <v>jureia_1</v>
      </c>
      <c r="I437" s="6" t="str">
        <f aca="false">H437&amp;"_"&amp;C437&amp;"_"&amp;G437</f>
        <v>jureia_1_10_Pera glabrata</v>
      </c>
      <c r="J437" s="6" t="n">
        <f aca="false">IF(COUNTIF($I$2:I437,I437)=1,1,0)</f>
        <v>1</v>
      </c>
      <c r="K437" s="6" t="n">
        <f aca="false">E437*$Q$2</f>
        <v>27</v>
      </c>
      <c r="L437" s="7" t="n">
        <f aca="false">K437/PI()</f>
        <v>8.59436692696235</v>
      </c>
      <c r="M437" s="8" t="n">
        <f aca="false">PI()*L437^2/40000</f>
        <v>0.00580119767569958</v>
      </c>
      <c r="N437" s="7" t="n">
        <f aca="false">F437*$Q$3</f>
        <v>10</v>
      </c>
      <c r="O437" s="3"/>
      <c r="P437" s="3"/>
      <c r="Q437" s="3"/>
    </row>
    <row r="438" customFormat="false" ht="15" hidden="false" customHeight="false" outlineLevel="0" collapsed="false">
      <c r="A438" s="2" t="s">
        <v>50</v>
      </c>
      <c r="B438" s="2" t="n">
        <v>1</v>
      </c>
      <c r="C438" s="2" t="n">
        <v>11</v>
      </c>
      <c r="D438" s="2" t="n">
        <v>1</v>
      </c>
      <c r="E438" s="2" t="n">
        <v>330</v>
      </c>
      <c r="F438" s="2" t="n">
        <v>90</v>
      </c>
      <c r="G438" s="2" t="s">
        <v>51</v>
      </c>
      <c r="H438" s="6" t="str">
        <f aca="false">A438&amp;"_"&amp;B438</f>
        <v>jureia_1</v>
      </c>
      <c r="I438" s="6" t="str">
        <f aca="false">H438&amp;"_"&amp;C438&amp;"_"&amp;G438</f>
        <v>jureia_1_11_Cabralea canjerana</v>
      </c>
      <c r="J438" s="6" t="n">
        <f aca="false">IF(COUNTIF($I$2:I438,I438)=1,1,0)</f>
        <v>1</v>
      </c>
      <c r="K438" s="6" t="n">
        <f aca="false">E438*$Q$2</f>
        <v>33</v>
      </c>
      <c r="L438" s="7" t="n">
        <f aca="false">K438/PI()</f>
        <v>10.5042262440651</v>
      </c>
      <c r="M438" s="8" t="n">
        <f aca="false">PI()*L438^2/40000</f>
        <v>0.0086659866513537</v>
      </c>
      <c r="N438" s="7" t="n">
        <f aca="false">F438*$Q$3</f>
        <v>9</v>
      </c>
      <c r="O438" s="3"/>
      <c r="P438" s="3"/>
      <c r="Q438" s="3"/>
    </row>
    <row r="439" customFormat="false" ht="15" hidden="false" customHeight="false" outlineLevel="0" collapsed="false">
      <c r="A439" s="2" t="s">
        <v>50</v>
      </c>
      <c r="B439" s="2" t="n">
        <v>1</v>
      </c>
      <c r="C439" s="2" t="n">
        <v>12</v>
      </c>
      <c r="D439" s="2" t="n">
        <v>1</v>
      </c>
      <c r="E439" s="2" t="n">
        <v>320</v>
      </c>
      <c r="F439" s="2" t="n">
        <v>140</v>
      </c>
      <c r="G439" s="2" t="s">
        <v>52</v>
      </c>
      <c r="H439" s="6" t="str">
        <f aca="false">A439&amp;"_"&amp;B439</f>
        <v>jureia_1</v>
      </c>
      <c r="I439" s="6" t="str">
        <f aca="false">H439&amp;"_"&amp;C439&amp;"_"&amp;G439</f>
        <v>jureia_1_12_jussara</v>
      </c>
      <c r="J439" s="6" t="n">
        <f aca="false">IF(COUNTIF($I$2:I439,I439)=1,1,0)</f>
        <v>1</v>
      </c>
      <c r="K439" s="6" t="n">
        <f aca="false">E439*$Q$2</f>
        <v>32</v>
      </c>
      <c r="L439" s="7" t="n">
        <f aca="false">K439/PI()</f>
        <v>10.1859163578813</v>
      </c>
      <c r="M439" s="8" t="n">
        <f aca="false">PI()*L439^2/40000</f>
        <v>0.00814873308630504</v>
      </c>
      <c r="N439" s="7" t="n">
        <f aca="false">F439*$Q$3</f>
        <v>14</v>
      </c>
      <c r="O439" s="3"/>
      <c r="P439" s="3"/>
      <c r="Q439" s="3"/>
    </row>
    <row r="440" customFormat="false" ht="15" hidden="false" customHeight="false" outlineLevel="0" collapsed="false">
      <c r="A440" s="2" t="s">
        <v>50</v>
      </c>
      <c r="B440" s="2" t="n">
        <v>1</v>
      </c>
      <c r="C440" s="2" t="n">
        <v>13</v>
      </c>
      <c r="D440" s="2" t="n">
        <v>1</v>
      </c>
      <c r="E440" s="2" t="n">
        <v>240</v>
      </c>
      <c r="F440" s="2" t="n">
        <v>60</v>
      </c>
      <c r="G440" s="2" t="s">
        <v>52</v>
      </c>
      <c r="H440" s="6" t="str">
        <f aca="false">A440&amp;"_"&amp;B440</f>
        <v>jureia_1</v>
      </c>
      <c r="I440" s="6" t="str">
        <f aca="false">H440&amp;"_"&amp;C440&amp;"_"&amp;G440</f>
        <v>jureia_1_13_jussara</v>
      </c>
      <c r="J440" s="6" t="n">
        <f aca="false">IF(COUNTIF($I$2:I440,I440)=1,1,0)</f>
        <v>1</v>
      </c>
      <c r="K440" s="6" t="n">
        <f aca="false">E440*$Q$2</f>
        <v>24</v>
      </c>
      <c r="L440" s="7" t="n">
        <f aca="false">K440/PI()</f>
        <v>7.63943726841098</v>
      </c>
      <c r="M440" s="8" t="n">
        <f aca="false">PI()*L440^2/40000</f>
        <v>0.00458366236104659</v>
      </c>
      <c r="N440" s="7" t="n">
        <f aca="false">F440*$Q$3</f>
        <v>6</v>
      </c>
      <c r="O440" s="3"/>
      <c r="P440" s="3"/>
      <c r="Q440" s="3"/>
    </row>
    <row r="441" customFormat="false" ht="15" hidden="false" customHeight="false" outlineLevel="0" collapsed="false">
      <c r="A441" s="2" t="s">
        <v>50</v>
      </c>
      <c r="B441" s="2" t="n">
        <v>1</v>
      </c>
      <c r="C441" s="2" t="n">
        <v>14</v>
      </c>
      <c r="D441" s="2" t="n">
        <v>1</v>
      </c>
      <c r="E441" s="2" t="n">
        <v>260</v>
      </c>
      <c r="F441" s="2" t="n">
        <v>150</v>
      </c>
      <c r="G441" s="2" t="s">
        <v>52</v>
      </c>
      <c r="H441" s="6" t="str">
        <f aca="false">A441&amp;"_"&amp;B441</f>
        <v>jureia_1</v>
      </c>
      <c r="I441" s="6" t="str">
        <f aca="false">H441&amp;"_"&amp;C441&amp;"_"&amp;G441</f>
        <v>jureia_1_14_jussara</v>
      </c>
      <c r="J441" s="6" t="n">
        <f aca="false">IF(COUNTIF($I$2:I441,I441)=1,1,0)</f>
        <v>1</v>
      </c>
      <c r="K441" s="6" t="n">
        <f aca="false">E441*$Q$2</f>
        <v>26</v>
      </c>
      <c r="L441" s="7" t="n">
        <f aca="false">K441/PI()</f>
        <v>8.27605704077856</v>
      </c>
      <c r="M441" s="8" t="n">
        <f aca="false">PI()*L441^2/40000</f>
        <v>0.00537943707650606</v>
      </c>
      <c r="N441" s="7" t="n">
        <f aca="false">F441*$Q$3</f>
        <v>15</v>
      </c>
      <c r="O441" s="3"/>
      <c r="P441" s="3"/>
      <c r="Q441" s="3"/>
    </row>
    <row r="442" customFormat="false" ht="15" hidden="false" customHeight="false" outlineLevel="0" collapsed="false">
      <c r="A442" s="2" t="s">
        <v>50</v>
      </c>
      <c r="B442" s="2" t="n">
        <v>1</v>
      </c>
      <c r="C442" s="2" t="n">
        <v>15</v>
      </c>
      <c r="D442" s="2" t="n">
        <v>1</v>
      </c>
      <c r="E442" s="2" t="n">
        <v>290</v>
      </c>
      <c r="F442" s="2" t="n">
        <v>70</v>
      </c>
      <c r="G442" s="2" t="s">
        <v>44</v>
      </c>
      <c r="H442" s="6" t="str">
        <f aca="false">A442&amp;"_"&amp;B442</f>
        <v>jureia_1</v>
      </c>
      <c r="I442" s="6" t="str">
        <f aca="false">H442&amp;"_"&amp;C442&amp;"_"&amp;G442</f>
        <v>jureia_1_15_Psidium sp</v>
      </c>
      <c r="J442" s="6" t="n">
        <f aca="false">IF(COUNTIF($I$2:I442,I442)=1,1,0)</f>
        <v>1</v>
      </c>
      <c r="K442" s="6" t="n">
        <f aca="false">E442*$Q$2</f>
        <v>29</v>
      </c>
      <c r="L442" s="7" t="n">
        <f aca="false">K442/PI()</f>
        <v>9.23098669932993</v>
      </c>
      <c r="M442" s="8" t="n">
        <f aca="false">PI()*L442^2/40000</f>
        <v>0.0066924653570142</v>
      </c>
      <c r="N442" s="7" t="n">
        <f aca="false">F442*$Q$3</f>
        <v>7</v>
      </c>
      <c r="O442" s="3"/>
      <c r="P442" s="3"/>
      <c r="Q442" s="3"/>
    </row>
    <row r="443" customFormat="false" ht="15" hidden="false" customHeight="false" outlineLevel="0" collapsed="false">
      <c r="A443" s="2" t="s">
        <v>50</v>
      </c>
      <c r="B443" s="2" t="n">
        <v>1</v>
      </c>
      <c r="C443" s="2" t="n">
        <v>16</v>
      </c>
      <c r="D443" s="2" t="n">
        <v>1</v>
      </c>
      <c r="E443" s="2" t="n">
        <v>260</v>
      </c>
      <c r="F443" s="2" t="n">
        <v>100</v>
      </c>
      <c r="G443" s="2" t="s">
        <v>37</v>
      </c>
      <c r="H443" s="6" t="str">
        <f aca="false">A443&amp;"_"&amp;B443</f>
        <v>jureia_1</v>
      </c>
      <c r="I443" s="6" t="str">
        <f aca="false">H443&amp;"_"&amp;C443&amp;"_"&amp;G443</f>
        <v>jureia_1_16_Tabebuia cassinoides</v>
      </c>
      <c r="J443" s="6" t="n">
        <f aca="false">IF(COUNTIF($I$2:I443,I443)=1,1,0)</f>
        <v>1</v>
      </c>
      <c r="K443" s="6" t="n">
        <f aca="false">E443*$Q$2</f>
        <v>26</v>
      </c>
      <c r="L443" s="7" t="n">
        <f aca="false">K443/PI()</f>
        <v>8.27605704077856</v>
      </c>
      <c r="M443" s="8" t="n">
        <f aca="false">PI()*L443^2/40000</f>
        <v>0.00537943707650606</v>
      </c>
      <c r="N443" s="7" t="n">
        <f aca="false">F443*$Q$3</f>
        <v>10</v>
      </c>
      <c r="O443" s="3"/>
      <c r="P443" s="3"/>
      <c r="Q443" s="3"/>
    </row>
    <row r="444" customFormat="false" ht="15" hidden="false" customHeight="false" outlineLevel="0" collapsed="false">
      <c r="A444" s="2" t="s">
        <v>50</v>
      </c>
      <c r="B444" s="2" t="n">
        <v>1</v>
      </c>
      <c r="C444" s="2" t="n">
        <v>17</v>
      </c>
      <c r="D444" s="2" t="n">
        <v>1</v>
      </c>
      <c r="E444" s="2" t="n">
        <v>670</v>
      </c>
      <c r="F444" s="2" t="n">
        <v>150</v>
      </c>
      <c r="G444" s="2" t="s">
        <v>37</v>
      </c>
      <c r="H444" s="6" t="str">
        <f aca="false">A444&amp;"_"&amp;B444</f>
        <v>jureia_1</v>
      </c>
      <c r="I444" s="6" t="str">
        <f aca="false">H444&amp;"_"&amp;C444&amp;"_"&amp;G444</f>
        <v>jureia_1_17_Tabebuia cassinoides</v>
      </c>
      <c r="J444" s="6" t="n">
        <f aca="false">IF(COUNTIF($I$2:I444,I444)=1,1,0)</f>
        <v>1</v>
      </c>
      <c r="K444" s="6" t="n">
        <f aca="false">E444*$Q$2</f>
        <v>67</v>
      </c>
      <c r="L444" s="7" t="n">
        <f aca="false">K444/PI()</f>
        <v>21.326762374314</v>
      </c>
      <c r="M444" s="8" t="n">
        <f aca="false">PI()*L444^2/40000</f>
        <v>0.0357223269769759</v>
      </c>
      <c r="N444" s="7" t="n">
        <f aca="false">F444*$Q$3</f>
        <v>15</v>
      </c>
      <c r="O444" s="3"/>
      <c r="P444" s="3"/>
      <c r="Q444" s="3"/>
    </row>
    <row r="445" customFormat="false" ht="15" hidden="false" customHeight="false" outlineLevel="0" collapsed="false">
      <c r="A445" s="2" t="s">
        <v>50</v>
      </c>
      <c r="B445" s="2" t="n">
        <v>1</v>
      </c>
      <c r="C445" s="2" t="n">
        <v>18</v>
      </c>
      <c r="D445" s="2" t="n">
        <v>1</v>
      </c>
      <c r="E445" s="2" t="n">
        <v>230</v>
      </c>
      <c r="F445" s="2" t="n">
        <v>150</v>
      </c>
      <c r="G445" s="2" t="s">
        <v>52</v>
      </c>
      <c r="H445" s="6" t="str">
        <f aca="false">A445&amp;"_"&amp;B445</f>
        <v>jureia_1</v>
      </c>
      <c r="I445" s="6" t="str">
        <f aca="false">H445&amp;"_"&amp;C445&amp;"_"&amp;G445</f>
        <v>jureia_1_18_jussara</v>
      </c>
      <c r="J445" s="6" t="n">
        <f aca="false">IF(COUNTIF($I$2:I445,I445)=1,1,0)</f>
        <v>1</v>
      </c>
      <c r="K445" s="6" t="n">
        <f aca="false">E445*$Q$2</f>
        <v>23</v>
      </c>
      <c r="L445" s="7" t="n">
        <f aca="false">K445/PI()</f>
        <v>7.32112738222719</v>
      </c>
      <c r="M445" s="8" t="n">
        <f aca="false">PI()*L445^2/40000</f>
        <v>0.00420964824478063</v>
      </c>
      <c r="N445" s="7" t="n">
        <f aca="false">F445*$Q$3</f>
        <v>15</v>
      </c>
      <c r="O445" s="3"/>
      <c r="P445" s="3"/>
      <c r="Q445" s="3"/>
    </row>
    <row r="446" customFormat="false" ht="15" hidden="false" customHeight="false" outlineLevel="0" collapsed="false">
      <c r="A446" s="2" t="s">
        <v>50</v>
      </c>
      <c r="B446" s="2" t="n">
        <v>1</v>
      </c>
      <c r="C446" s="2" t="n">
        <v>19</v>
      </c>
      <c r="D446" s="2" t="n">
        <v>1</v>
      </c>
      <c r="E446" s="2" t="n">
        <v>270</v>
      </c>
      <c r="F446" s="2" t="n">
        <v>130</v>
      </c>
      <c r="G446" s="2" t="s">
        <v>56</v>
      </c>
      <c r="H446" s="6" t="str">
        <f aca="false">A446&amp;"_"&amp;B446</f>
        <v>jureia_1</v>
      </c>
      <c r="I446" s="6" t="str">
        <f aca="false">H446&amp;"_"&amp;C446&amp;"_"&amp;G446</f>
        <v>jureia_1_19_Persea sp</v>
      </c>
      <c r="J446" s="6" t="n">
        <f aca="false">IF(COUNTIF($I$2:I446,I446)=1,1,0)</f>
        <v>1</v>
      </c>
      <c r="K446" s="6" t="n">
        <f aca="false">E446*$Q$2</f>
        <v>27</v>
      </c>
      <c r="L446" s="7" t="n">
        <f aca="false">K446/PI()</f>
        <v>8.59436692696235</v>
      </c>
      <c r="M446" s="8" t="n">
        <f aca="false">PI()*L446^2/40000</f>
        <v>0.00580119767569958</v>
      </c>
      <c r="N446" s="7" t="n">
        <f aca="false">F446*$Q$3</f>
        <v>13</v>
      </c>
      <c r="O446" s="3"/>
      <c r="P446" s="3"/>
      <c r="Q446" s="3"/>
    </row>
    <row r="447" customFormat="false" ht="15" hidden="false" customHeight="false" outlineLevel="0" collapsed="false">
      <c r="A447" s="2" t="s">
        <v>50</v>
      </c>
      <c r="B447" s="2" t="n">
        <v>1</v>
      </c>
      <c r="C447" s="2" t="n">
        <v>20</v>
      </c>
      <c r="D447" s="2" t="n">
        <v>1</v>
      </c>
      <c r="E447" s="2" t="n">
        <v>300</v>
      </c>
      <c r="F447" s="2" t="n">
        <v>140</v>
      </c>
      <c r="G447" s="2" t="s">
        <v>52</v>
      </c>
      <c r="H447" s="6" t="str">
        <f aca="false">A447&amp;"_"&amp;B447</f>
        <v>jureia_1</v>
      </c>
      <c r="I447" s="6" t="str">
        <f aca="false">H447&amp;"_"&amp;C447&amp;"_"&amp;G447</f>
        <v>jureia_1_20_jussara</v>
      </c>
      <c r="J447" s="6" t="n">
        <f aca="false">IF(COUNTIF($I$2:I447,I447)=1,1,0)</f>
        <v>1</v>
      </c>
      <c r="K447" s="6" t="n">
        <f aca="false">E447*$Q$2</f>
        <v>30</v>
      </c>
      <c r="L447" s="7" t="n">
        <f aca="false">K447/PI()</f>
        <v>9.54929658551372</v>
      </c>
      <c r="M447" s="8" t="n">
        <f aca="false">PI()*L447^2/40000</f>
        <v>0.00716197243913529</v>
      </c>
      <c r="N447" s="7" t="n">
        <f aca="false">F447*$Q$3</f>
        <v>14</v>
      </c>
      <c r="O447" s="3"/>
      <c r="P447" s="3"/>
      <c r="Q447" s="3"/>
    </row>
    <row r="448" customFormat="false" ht="15" hidden="false" customHeight="false" outlineLevel="0" collapsed="false">
      <c r="A448" s="2" t="s">
        <v>50</v>
      </c>
      <c r="B448" s="2" t="n">
        <v>1</v>
      </c>
      <c r="C448" s="2" t="n">
        <v>21</v>
      </c>
      <c r="D448" s="2" t="n">
        <v>1</v>
      </c>
      <c r="E448" s="2" t="n">
        <v>280</v>
      </c>
      <c r="F448" s="2" t="n">
        <v>80</v>
      </c>
      <c r="G448" s="2" t="s">
        <v>52</v>
      </c>
      <c r="H448" s="6" t="str">
        <f aca="false">A448&amp;"_"&amp;B448</f>
        <v>jureia_1</v>
      </c>
      <c r="I448" s="6" t="str">
        <f aca="false">H448&amp;"_"&amp;C448&amp;"_"&amp;G448</f>
        <v>jureia_1_21_jussara</v>
      </c>
      <c r="J448" s="6" t="n">
        <f aca="false">IF(COUNTIF($I$2:I448,I448)=1,1,0)</f>
        <v>1</v>
      </c>
      <c r="K448" s="6" t="n">
        <f aca="false">E448*$Q$2</f>
        <v>28</v>
      </c>
      <c r="L448" s="7" t="n">
        <f aca="false">K448/PI()</f>
        <v>8.91267681314614</v>
      </c>
      <c r="M448" s="8" t="n">
        <f aca="false">PI()*L448^2/40000</f>
        <v>0.0062388737692023</v>
      </c>
      <c r="N448" s="7" t="n">
        <f aca="false">F448*$Q$3</f>
        <v>8</v>
      </c>
      <c r="O448" s="3"/>
      <c r="P448" s="3"/>
      <c r="Q448" s="3"/>
    </row>
    <row r="449" customFormat="false" ht="15" hidden="false" customHeight="false" outlineLevel="0" collapsed="false">
      <c r="A449" s="2" t="s">
        <v>50</v>
      </c>
      <c r="B449" s="2" t="n">
        <v>1</v>
      </c>
      <c r="C449" s="2" t="n">
        <v>22</v>
      </c>
      <c r="D449" s="2" t="n">
        <v>1</v>
      </c>
      <c r="E449" s="2" t="n">
        <v>590</v>
      </c>
      <c r="F449" s="2" t="n">
        <v>170</v>
      </c>
      <c r="G449" s="2" t="s">
        <v>37</v>
      </c>
      <c r="H449" s="6" t="str">
        <f aca="false">A449&amp;"_"&amp;B449</f>
        <v>jureia_1</v>
      </c>
      <c r="I449" s="6" t="str">
        <f aca="false">H449&amp;"_"&amp;C449&amp;"_"&amp;G449</f>
        <v>jureia_1_22_Tabebuia cassinoides</v>
      </c>
      <c r="J449" s="6" t="n">
        <f aca="false">IF(COUNTIF($I$2:I449,I449)=1,1,0)</f>
        <v>1</v>
      </c>
      <c r="K449" s="6" t="n">
        <f aca="false">E449*$Q$2</f>
        <v>59</v>
      </c>
      <c r="L449" s="7" t="n">
        <f aca="false">K449/PI()</f>
        <v>18.7802832848437</v>
      </c>
      <c r="M449" s="8" t="n">
        <f aca="false">PI()*L449^2/40000</f>
        <v>0.0277009178451444</v>
      </c>
      <c r="N449" s="7" t="n">
        <f aca="false">F449*$Q$3</f>
        <v>17</v>
      </c>
      <c r="O449" s="3"/>
      <c r="P449" s="3"/>
      <c r="Q449" s="3"/>
    </row>
    <row r="450" customFormat="false" ht="15" hidden="false" customHeight="false" outlineLevel="0" collapsed="false">
      <c r="A450" s="2" t="s">
        <v>50</v>
      </c>
      <c r="B450" s="2" t="n">
        <v>1</v>
      </c>
      <c r="C450" s="2" t="n">
        <v>23</v>
      </c>
      <c r="D450" s="2" t="n">
        <v>1</v>
      </c>
      <c r="E450" s="2" t="n">
        <v>540</v>
      </c>
      <c r="F450" s="2" t="n">
        <v>100</v>
      </c>
      <c r="G450" s="2" t="s">
        <v>37</v>
      </c>
      <c r="H450" s="6" t="str">
        <f aca="false">A450&amp;"_"&amp;B450</f>
        <v>jureia_1</v>
      </c>
      <c r="I450" s="6" t="str">
        <f aca="false">H450&amp;"_"&amp;C450&amp;"_"&amp;G450</f>
        <v>jureia_1_23_Tabebuia cassinoides</v>
      </c>
      <c r="J450" s="6" t="n">
        <f aca="false">IF(COUNTIF($I$2:I450,I450)=1,1,0)</f>
        <v>1</v>
      </c>
      <c r="K450" s="6" t="n">
        <f aca="false">E450*$Q$2</f>
        <v>54</v>
      </c>
      <c r="L450" s="7" t="n">
        <f aca="false">K450/PI()</f>
        <v>17.1887338539247</v>
      </c>
      <c r="M450" s="8" t="n">
        <f aca="false">PI()*L450^2/40000</f>
        <v>0.0232047907027983</v>
      </c>
      <c r="N450" s="7" t="n">
        <f aca="false">F450*$Q$3</f>
        <v>10</v>
      </c>
      <c r="O450" s="3"/>
      <c r="P450" s="3"/>
      <c r="Q450" s="3"/>
    </row>
    <row r="451" customFormat="false" ht="15" hidden="false" customHeight="false" outlineLevel="0" collapsed="false">
      <c r="A451" s="2" t="s">
        <v>50</v>
      </c>
      <c r="B451" s="2" t="n">
        <v>1</v>
      </c>
      <c r="C451" s="2" t="n">
        <v>24</v>
      </c>
      <c r="D451" s="2" t="n">
        <v>1</v>
      </c>
      <c r="E451" s="2" t="n">
        <v>330</v>
      </c>
      <c r="F451" s="2" t="n">
        <v>150</v>
      </c>
      <c r="G451" s="2" t="s">
        <v>52</v>
      </c>
      <c r="H451" s="6" t="str">
        <f aca="false">A451&amp;"_"&amp;B451</f>
        <v>jureia_1</v>
      </c>
      <c r="I451" s="6" t="str">
        <f aca="false">H451&amp;"_"&amp;C451&amp;"_"&amp;G451</f>
        <v>jureia_1_24_jussara</v>
      </c>
      <c r="J451" s="6" t="n">
        <f aca="false">IF(COUNTIF($I$2:I451,I451)=1,1,0)</f>
        <v>1</v>
      </c>
      <c r="K451" s="6" t="n">
        <f aca="false">E451*$Q$2</f>
        <v>33</v>
      </c>
      <c r="L451" s="7" t="n">
        <f aca="false">K451/PI()</f>
        <v>10.5042262440651</v>
      </c>
      <c r="M451" s="8" t="n">
        <f aca="false">PI()*L451^2/40000</f>
        <v>0.0086659866513537</v>
      </c>
      <c r="N451" s="7" t="n">
        <f aca="false">F451*$Q$3</f>
        <v>15</v>
      </c>
      <c r="O451" s="3"/>
      <c r="P451" s="3"/>
      <c r="Q451" s="3"/>
    </row>
    <row r="452" customFormat="false" ht="15" hidden="false" customHeight="false" outlineLevel="0" collapsed="false">
      <c r="A452" s="2" t="s">
        <v>50</v>
      </c>
      <c r="B452" s="2" t="n">
        <v>1</v>
      </c>
      <c r="C452" s="2" t="n">
        <v>25</v>
      </c>
      <c r="D452" s="2" t="n">
        <v>1</v>
      </c>
      <c r="E452" s="2" t="n">
        <v>400</v>
      </c>
      <c r="F452" s="2" t="n">
        <v>110</v>
      </c>
      <c r="G452" s="2" t="s">
        <v>37</v>
      </c>
      <c r="H452" s="6" t="str">
        <f aca="false">A452&amp;"_"&amp;B452</f>
        <v>jureia_1</v>
      </c>
      <c r="I452" s="6" t="str">
        <f aca="false">H452&amp;"_"&amp;C452&amp;"_"&amp;G452</f>
        <v>jureia_1_25_Tabebuia cassinoides</v>
      </c>
      <c r="J452" s="6" t="n">
        <f aca="false">IF(COUNTIF($I$2:I452,I452)=1,1,0)</f>
        <v>1</v>
      </c>
      <c r="K452" s="6" t="n">
        <f aca="false">E452*$Q$2</f>
        <v>40</v>
      </c>
      <c r="L452" s="7" t="n">
        <f aca="false">K452/PI()</f>
        <v>12.7323954473516</v>
      </c>
      <c r="M452" s="8" t="n">
        <f aca="false">PI()*L452^2/40000</f>
        <v>0.0127323954473516</v>
      </c>
      <c r="N452" s="7" t="n">
        <f aca="false">F452*$Q$3</f>
        <v>11</v>
      </c>
      <c r="O452" s="3"/>
      <c r="P452" s="3"/>
      <c r="Q452" s="3"/>
    </row>
    <row r="453" customFormat="false" ht="15" hidden="false" customHeight="false" outlineLevel="0" collapsed="false">
      <c r="A453" s="2" t="s">
        <v>50</v>
      </c>
      <c r="B453" s="2" t="n">
        <v>1</v>
      </c>
      <c r="C453" s="2" t="n">
        <v>26</v>
      </c>
      <c r="D453" s="2" t="n">
        <v>1</v>
      </c>
      <c r="E453" s="2" t="n">
        <v>1170</v>
      </c>
      <c r="F453" s="2" t="n">
        <v>200</v>
      </c>
      <c r="G453" s="2" t="s">
        <v>37</v>
      </c>
      <c r="H453" s="6" t="str">
        <f aca="false">A453&amp;"_"&amp;B453</f>
        <v>jureia_1</v>
      </c>
      <c r="I453" s="6" t="str">
        <f aca="false">H453&amp;"_"&amp;C453&amp;"_"&amp;G453</f>
        <v>jureia_1_26_Tabebuia cassinoides</v>
      </c>
      <c r="J453" s="6" t="n">
        <f aca="false">IF(COUNTIF($I$2:I453,I453)=1,1,0)</f>
        <v>1</v>
      </c>
      <c r="K453" s="6" t="n">
        <f aca="false">E453*$Q$2</f>
        <v>117</v>
      </c>
      <c r="L453" s="7" t="n">
        <f aca="false">K453/PI()</f>
        <v>37.2422566835035</v>
      </c>
      <c r="M453" s="8" t="n">
        <f aca="false">PI()*L453^2/40000</f>
        <v>0.108933600799248</v>
      </c>
      <c r="N453" s="7" t="n">
        <f aca="false">F453*$Q$3</f>
        <v>20</v>
      </c>
      <c r="O453" s="3"/>
      <c r="P453" s="3"/>
      <c r="Q453" s="3"/>
    </row>
    <row r="454" customFormat="false" ht="15" hidden="false" customHeight="false" outlineLevel="0" collapsed="false">
      <c r="A454" s="2" t="s">
        <v>50</v>
      </c>
      <c r="B454" s="2" t="n">
        <v>1</v>
      </c>
      <c r="C454" s="2" t="n">
        <v>27</v>
      </c>
      <c r="D454" s="2" t="n">
        <v>1</v>
      </c>
      <c r="E454" s="2" t="n">
        <v>680</v>
      </c>
      <c r="F454" s="2" t="n">
        <v>150</v>
      </c>
      <c r="G454" s="2" t="s">
        <v>37</v>
      </c>
      <c r="H454" s="6" t="str">
        <f aca="false">A454&amp;"_"&amp;B454</f>
        <v>jureia_1</v>
      </c>
      <c r="I454" s="6" t="str">
        <f aca="false">H454&amp;"_"&amp;C454&amp;"_"&amp;G454</f>
        <v>jureia_1_27_Tabebuia cassinoides</v>
      </c>
      <c r="J454" s="6" t="n">
        <f aca="false">IF(COUNTIF($I$2:I454,I454)=1,1,0)</f>
        <v>1</v>
      </c>
      <c r="K454" s="6" t="n">
        <f aca="false">E454*$Q$2</f>
        <v>68</v>
      </c>
      <c r="L454" s="7" t="n">
        <f aca="false">K454/PI()</f>
        <v>21.6450722604978</v>
      </c>
      <c r="M454" s="8" t="n">
        <f aca="false">PI()*L454^2/40000</f>
        <v>0.0367966228428462</v>
      </c>
      <c r="N454" s="7" t="n">
        <f aca="false">F454*$Q$3</f>
        <v>15</v>
      </c>
      <c r="O454" s="3"/>
      <c r="P454" s="3"/>
      <c r="Q454" s="3"/>
    </row>
    <row r="455" customFormat="false" ht="15" hidden="false" customHeight="false" outlineLevel="0" collapsed="false">
      <c r="A455" s="2" t="s">
        <v>50</v>
      </c>
      <c r="B455" s="2" t="n">
        <v>1</v>
      </c>
      <c r="C455" s="2" t="n">
        <v>28</v>
      </c>
      <c r="D455" s="2" t="n">
        <v>1</v>
      </c>
      <c r="E455" s="2" t="n">
        <v>1050</v>
      </c>
      <c r="F455" s="2" t="n">
        <v>220</v>
      </c>
      <c r="G455" s="2" t="s">
        <v>37</v>
      </c>
      <c r="H455" s="6" t="str">
        <f aca="false">A455&amp;"_"&amp;B455</f>
        <v>jureia_1</v>
      </c>
      <c r="I455" s="6" t="str">
        <f aca="false">H455&amp;"_"&amp;C455&amp;"_"&amp;G455</f>
        <v>jureia_1_28_Tabebuia cassinoides</v>
      </c>
      <c r="J455" s="6" t="n">
        <f aca="false">IF(COUNTIF($I$2:I455,I455)=1,1,0)</f>
        <v>1</v>
      </c>
      <c r="K455" s="6" t="n">
        <f aca="false">E455*$Q$2</f>
        <v>105</v>
      </c>
      <c r="L455" s="7" t="n">
        <f aca="false">K455/PI()</f>
        <v>33.422538049298</v>
      </c>
      <c r="M455" s="8" t="n">
        <f aca="false">PI()*L455^2/40000</f>
        <v>0.0877341623794073</v>
      </c>
      <c r="N455" s="7" t="n">
        <f aca="false">F455*$Q$3</f>
        <v>22</v>
      </c>
      <c r="O455" s="3"/>
      <c r="P455" s="3"/>
      <c r="Q455" s="3"/>
    </row>
    <row r="456" customFormat="false" ht="15" hidden="false" customHeight="false" outlineLevel="0" collapsed="false">
      <c r="A456" s="2" t="s">
        <v>50</v>
      </c>
      <c r="B456" s="2" t="n">
        <v>1</v>
      </c>
      <c r="C456" s="2" t="n">
        <v>29</v>
      </c>
      <c r="D456" s="2" t="n">
        <v>1</v>
      </c>
      <c r="E456" s="2" t="n">
        <v>280</v>
      </c>
      <c r="F456" s="2" t="n">
        <v>80</v>
      </c>
      <c r="G456" s="2" t="s">
        <v>37</v>
      </c>
      <c r="H456" s="6" t="str">
        <f aca="false">A456&amp;"_"&amp;B456</f>
        <v>jureia_1</v>
      </c>
      <c r="I456" s="6" t="str">
        <f aca="false">H456&amp;"_"&amp;C456&amp;"_"&amp;G456</f>
        <v>jureia_1_29_Tabebuia cassinoides</v>
      </c>
      <c r="J456" s="6" t="n">
        <f aca="false">IF(COUNTIF($I$2:I456,I456)=1,1,0)</f>
        <v>1</v>
      </c>
      <c r="K456" s="6" t="n">
        <f aca="false">E456*$Q$2</f>
        <v>28</v>
      </c>
      <c r="L456" s="7" t="n">
        <f aca="false">K456/PI()</f>
        <v>8.91267681314614</v>
      </c>
      <c r="M456" s="8" t="n">
        <f aca="false">PI()*L456^2/40000</f>
        <v>0.0062388737692023</v>
      </c>
      <c r="N456" s="7" t="n">
        <f aca="false">F456*$Q$3</f>
        <v>8</v>
      </c>
      <c r="O456" s="3"/>
      <c r="P456" s="3"/>
      <c r="Q456" s="3"/>
    </row>
    <row r="457" customFormat="false" ht="15" hidden="false" customHeight="false" outlineLevel="0" collapsed="false">
      <c r="A457" s="2" t="s">
        <v>50</v>
      </c>
      <c r="B457" s="2" t="n">
        <v>1</v>
      </c>
      <c r="C457" s="2" t="n">
        <v>30</v>
      </c>
      <c r="D457" s="2" t="n">
        <v>1</v>
      </c>
      <c r="E457" s="2" t="n">
        <v>400</v>
      </c>
      <c r="F457" s="2" t="n">
        <v>120</v>
      </c>
      <c r="G457" s="2" t="s">
        <v>52</v>
      </c>
      <c r="H457" s="6" t="str">
        <f aca="false">A457&amp;"_"&amp;B457</f>
        <v>jureia_1</v>
      </c>
      <c r="I457" s="6" t="str">
        <f aca="false">H457&amp;"_"&amp;C457&amp;"_"&amp;G457</f>
        <v>jureia_1_30_jussara</v>
      </c>
      <c r="J457" s="6" t="n">
        <f aca="false">IF(COUNTIF($I$2:I457,I457)=1,1,0)</f>
        <v>1</v>
      </c>
      <c r="K457" s="6" t="n">
        <f aca="false">E457*$Q$2</f>
        <v>40</v>
      </c>
      <c r="L457" s="7" t="n">
        <f aca="false">K457/PI()</f>
        <v>12.7323954473516</v>
      </c>
      <c r="M457" s="8" t="n">
        <f aca="false">PI()*L457^2/40000</f>
        <v>0.0127323954473516</v>
      </c>
      <c r="N457" s="7" t="n">
        <f aca="false">F457*$Q$3</f>
        <v>12</v>
      </c>
      <c r="O457" s="3"/>
      <c r="P457" s="3"/>
      <c r="Q457" s="3"/>
    </row>
    <row r="458" customFormat="false" ht="15" hidden="false" customHeight="false" outlineLevel="0" collapsed="false">
      <c r="A458" s="2" t="s">
        <v>50</v>
      </c>
      <c r="B458" s="2" t="n">
        <v>1</v>
      </c>
      <c r="C458" s="2" t="n">
        <v>31</v>
      </c>
      <c r="D458" s="2" t="n">
        <v>1</v>
      </c>
      <c r="E458" s="2" t="n">
        <v>320</v>
      </c>
      <c r="F458" s="2" t="n">
        <v>100</v>
      </c>
      <c r="G458" s="2" t="s">
        <v>52</v>
      </c>
      <c r="H458" s="6" t="str">
        <f aca="false">A458&amp;"_"&amp;B458</f>
        <v>jureia_1</v>
      </c>
      <c r="I458" s="6" t="str">
        <f aca="false">H458&amp;"_"&amp;C458&amp;"_"&amp;G458</f>
        <v>jureia_1_31_jussara</v>
      </c>
      <c r="J458" s="6" t="n">
        <f aca="false">IF(COUNTIF($I$2:I458,I458)=1,1,0)</f>
        <v>1</v>
      </c>
      <c r="K458" s="6" t="n">
        <f aca="false">E458*$Q$2</f>
        <v>32</v>
      </c>
      <c r="L458" s="7" t="n">
        <f aca="false">K458/PI()</f>
        <v>10.1859163578813</v>
      </c>
      <c r="M458" s="8" t="n">
        <f aca="false">PI()*L458^2/40000</f>
        <v>0.00814873308630504</v>
      </c>
      <c r="N458" s="7" t="n">
        <f aca="false">F458*$Q$3</f>
        <v>10</v>
      </c>
      <c r="O458" s="3"/>
      <c r="P458" s="3"/>
      <c r="Q458" s="3"/>
    </row>
    <row r="459" customFormat="false" ht="15" hidden="false" customHeight="false" outlineLevel="0" collapsed="false">
      <c r="A459" s="2" t="s">
        <v>50</v>
      </c>
      <c r="B459" s="2" t="n">
        <v>1</v>
      </c>
      <c r="C459" s="2" t="n">
        <v>32</v>
      </c>
      <c r="D459" s="2" t="n">
        <v>1</v>
      </c>
      <c r="E459" s="2" t="n">
        <v>300</v>
      </c>
      <c r="F459" s="2" t="n">
        <v>90</v>
      </c>
      <c r="G459" s="2" t="s">
        <v>52</v>
      </c>
      <c r="H459" s="6" t="str">
        <f aca="false">A459&amp;"_"&amp;B459</f>
        <v>jureia_1</v>
      </c>
      <c r="I459" s="6" t="str">
        <f aca="false">H459&amp;"_"&amp;C459&amp;"_"&amp;G459</f>
        <v>jureia_1_32_jussara</v>
      </c>
      <c r="J459" s="6" t="n">
        <f aca="false">IF(COUNTIF($I$2:I459,I459)=1,1,0)</f>
        <v>1</v>
      </c>
      <c r="K459" s="6" t="n">
        <f aca="false">E459*$Q$2</f>
        <v>30</v>
      </c>
      <c r="L459" s="7" t="n">
        <f aca="false">K459/PI()</f>
        <v>9.54929658551372</v>
      </c>
      <c r="M459" s="8" t="n">
        <f aca="false">PI()*L459^2/40000</f>
        <v>0.00716197243913529</v>
      </c>
      <c r="N459" s="7" t="n">
        <f aca="false">F459*$Q$3</f>
        <v>9</v>
      </c>
      <c r="O459" s="3"/>
      <c r="P459" s="3"/>
      <c r="Q459" s="3"/>
    </row>
    <row r="460" customFormat="false" ht="15" hidden="false" customHeight="false" outlineLevel="0" collapsed="false">
      <c r="A460" s="2" t="s">
        <v>50</v>
      </c>
      <c r="B460" s="2" t="n">
        <v>1</v>
      </c>
      <c r="C460" s="2" t="n">
        <v>33</v>
      </c>
      <c r="D460" s="2" t="n">
        <v>1</v>
      </c>
      <c r="E460" s="2" t="n">
        <v>640</v>
      </c>
      <c r="F460" s="2" t="n">
        <v>150</v>
      </c>
      <c r="G460" s="2" t="s">
        <v>37</v>
      </c>
      <c r="H460" s="6" t="str">
        <f aca="false">A460&amp;"_"&amp;B460</f>
        <v>jureia_1</v>
      </c>
      <c r="I460" s="6" t="str">
        <f aca="false">H460&amp;"_"&amp;C460&amp;"_"&amp;G460</f>
        <v>jureia_1_33_Tabebuia cassinoides</v>
      </c>
      <c r="J460" s="6" t="n">
        <f aca="false">IF(COUNTIF($I$2:I460,I460)=1,1,0)</f>
        <v>1</v>
      </c>
      <c r="K460" s="6" t="n">
        <f aca="false">E460*$Q$2</f>
        <v>64</v>
      </c>
      <c r="L460" s="7" t="n">
        <f aca="false">K460/PI()</f>
        <v>20.3718327157626</v>
      </c>
      <c r="M460" s="8" t="n">
        <f aca="false">PI()*L460^2/40000</f>
        <v>0.0325949323452202</v>
      </c>
      <c r="N460" s="7" t="n">
        <f aca="false">F460*$Q$3</f>
        <v>15</v>
      </c>
      <c r="O460" s="3"/>
      <c r="P460" s="3"/>
      <c r="Q460" s="3"/>
    </row>
    <row r="461" customFormat="false" ht="15" hidden="false" customHeight="false" outlineLevel="0" collapsed="false">
      <c r="A461" s="2" t="s">
        <v>50</v>
      </c>
      <c r="B461" s="2" t="n">
        <v>1</v>
      </c>
      <c r="C461" s="2" t="n">
        <v>34</v>
      </c>
      <c r="D461" s="2" t="n">
        <v>1</v>
      </c>
      <c r="E461" s="2" t="n">
        <v>250</v>
      </c>
      <c r="F461" s="2" t="n">
        <v>70</v>
      </c>
      <c r="G461" s="2" t="s">
        <v>52</v>
      </c>
      <c r="H461" s="6" t="str">
        <f aca="false">A461&amp;"_"&amp;B461</f>
        <v>jureia_1</v>
      </c>
      <c r="I461" s="6" t="str">
        <f aca="false">H461&amp;"_"&amp;C461&amp;"_"&amp;G461</f>
        <v>jureia_1_34_jussara</v>
      </c>
      <c r="J461" s="6" t="n">
        <f aca="false">IF(COUNTIF($I$2:I461,I461)=1,1,0)</f>
        <v>1</v>
      </c>
      <c r="K461" s="6" t="n">
        <f aca="false">E461*$Q$2</f>
        <v>25</v>
      </c>
      <c r="L461" s="7" t="n">
        <f aca="false">K461/PI()</f>
        <v>7.95774715459477</v>
      </c>
      <c r="M461" s="8" t="n">
        <f aca="false">PI()*L461^2/40000</f>
        <v>0.00497359197162173</v>
      </c>
      <c r="N461" s="7" t="n">
        <f aca="false">F461*$Q$3</f>
        <v>7</v>
      </c>
      <c r="O461" s="3"/>
      <c r="P461" s="3"/>
      <c r="Q461" s="3"/>
    </row>
    <row r="462" customFormat="false" ht="15" hidden="false" customHeight="false" outlineLevel="0" collapsed="false">
      <c r="A462" s="2" t="s">
        <v>50</v>
      </c>
      <c r="B462" s="2" t="n">
        <v>1</v>
      </c>
      <c r="C462" s="2" t="n">
        <v>35</v>
      </c>
      <c r="D462" s="2" t="n">
        <v>1</v>
      </c>
      <c r="E462" s="2" t="n">
        <v>500</v>
      </c>
      <c r="F462" s="2" t="n">
        <v>110</v>
      </c>
      <c r="G462" s="2" t="s">
        <v>56</v>
      </c>
      <c r="H462" s="6" t="str">
        <f aca="false">A462&amp;"_"&amp;B462</f>
        <v>jureia_1</v>
      </c>
      <c r="I462" s="6" t="str">
        <f aca="false">H462&amp;"_"&amp;C462&amp;"_"&amp;G462</f>
        <v>jureia_1_35_Persea sp</v>
      </c>
      <c r="J462" s="6" t="n">
        <f aca="false">IF(COUNTIF($I$2:I462,I462)=1,1,0)</f>
        <v>1</v>
      </c>
      <c r="K462" s="6" t="n">
        <f aca="false">E462*$Q$2</f>
        <v>50</v>
      </c>
      <c r="L462" s="7" t="n">
        <f aca="false">K462/PI()</f>
        <v>15.9154943091895</v>
      </c>
      <c r="M462" s="8" t="n">
        <f aca="false">PI()*L462^2/40000</f>
        <v>0.0198943678864869</v>
      </c>
      <c r="N462" s="7" t="n">
        <f aca="false">F462*$Q$3</f>
        <v>11</v>
      </c>
      <c r="O462" s="3"/>
      <c r="P462" s="3"/>
      <c r="Q462" s="3"/>
    </row>
    <row r="463" customFormat="false" ht="15" hidden="false" customHeight="false" outlineLevel="0" collapsed="false">
      <c r="A463" s="2" t="s">
        <v>50</v>
      </c>
      <c r="B463" s="2" t="n">
        <v>1</v>
      </c>
      <c r="C463" s="2" t="n">
        <v>36</v>
      </c>
      <c r="D463" s="2" t="n">
        <v>1</v>
      </c>
      <c r="E463" s="2" t="n">
        <v>720</v>
      </c>
      <c r="F463" s="2" t="n">
        <v>140</v>
      </c>
      <c r="G463" s="2" t="s">
        <v>37</v>
      </c>
      <c r="H463" s="6" t="str">
        <f aca="false">A463&amp;"_"&amp;B463</f>
        <v>jureia_1</v>
      </c>
      <c r="I463" s="6" t="str">
        <f aca="false">H463&amp;"_"&amp;C463&amp;"_"&amp;G463</f>
        <v>jureia_1_36_Tabebuia cassinoides</v>
      </c>
      <c r="J463" s="6" t="n">
        <f aca="false">IF(COUNTIF($I$2:I463,I463)=1,1,0)</f>
        <v>1</v>
      </c>
      <c r="K463" s="6" t="n">
        <f aca="false">E463*$Q$2</f>
        <v>72</v>
      </c>
      <c r="L463" s="7" t="n">
        <f aca="false">K463/PI()</f>
        <v>22.9183118052329</v>
      </c>
      <c r="M463" s="8" t="n">
        <f aca="false">PI()*L463^2/40000</f>
        <v>0.0412529612494193</v>
      </c>
      <c r="N463" s="7" t="n">
        <f aca="false">F463*$Q$3</f>
        <v>14</v>
      </c>
      <c r="O463" s="3"/>
      <c r="P463" s="3"/>
      <c r="Q463" s="3"/>
    </row>
    <row r="464" customFormat="false" ht="15" hidden="false" customHeight="false" outlineLevel="0" collapsed="false">
      <c r="A464" s="2" t="s">
        <v>50</v>
      </c>
      <c r="B464" s="2" t="n">
        <v>1</v>
      </c>
      <c r="C464" s="2" t="n">
        <v>37</v>
      </c>
      <c r="D464" s="2" t="n">
        <v>1</v>
      </c>
      <c r="E464" s="2" t="n">
        <v>440</v>
      </c>
      <c r="F464" s="2" t="n">
        <v>100</v>
      </c>
      <c r="G464" s="2" t="s">
        <v>37</v>
      </c>
      <c r="H464" s="6" t="str">
        <f aca="false">A464&amp;"_"&amp;B464</f>
        <v>jureia_1</v>
      </c>
      <c r="I464" s="6" t="str">
        <f aca="false">H464&amp;"_"&amp;C464&amp;"_"&amp;G464</f>
        <v>jureia_1_37_Tabebuia cassinoides</v>
      </c>
      <c r="J464" s="6" t="n">
        <f aca="false">IF(COUNTIF($I$2:I464,I464)=1,1,0)</f>
        <v>1</v>
      </c>
      <c r="K464" s="6" t="n">
        <f aca="false">E464*$Q$2</f>
        <v>44</v>
      </c>
      <c r="L464" s="7" t="n">
        <f aca="false">K464/PI()</f>
        <v>14.0056349920868</v>
      </c>
      <c r="M464" s="8" t="n">
        <f aca="false">PI()*L464^2/40000</f>
        <v>0.0154061984912955</v>
      </c>
      <c r="N464" s="7" t="n">
        <f aca="false">F464*$Q$3</f>
        <v>10</v>
      </c>
      <c r="O464" s="3"/>
      <c r="P464" s="3"/>
      <c r="Q464" s="3"/>
    </row>
    <row r="465" customFormat="false" ht="15" hidden="false" customHeight="false" outlineLevel="0" collapsed="false">
      <c r="A465" s="2" t="s">
        <v>50</v>
      </c>
      <c r="B465" s="2" t="n">
        <v>1</v>
      </c>
      <c r="C465" s="2" t="n">
        <v>38</v>
      </c>
      <c r="D465" s="2" t="n">
        <v>1</v>
      </c>
      <c r="E465" s="2" t="n">
        <v>550</v>
      </c>
      <c r="F465" s="2" t="n">
        <v>130</v>
      </c>
      <c r="G465" s="2" t="s">
        <v>57</v>
      </c>
      <c r="H465" s="6" t="str">
        <f aca="false">A465&amp;"_"&amp;B465</f>
        <v>jureia_1</v>
      </c>
      <c r="I465" s="6" t="str">
        <f aca="false">H465&amp;"_"&amp;C465&amp;"_"&amp;G465</f>
        <v>jureia_1_38_Ficus sp</v>
      </c>
      <c r="J465" s="6" t="n">
        <f aca="false">IF(COUNTIF($I$2:I465,I465)=1,1,0)</f>
        <v>1</v>
      </c>
      <c r="K465" s="6" t="n">
        <f aca="false">E465*$Q$2</f>
        <v>55</v>
      </c>
      <c r="L465" s="7" t="n">
        <f aca="false">K465/PI()</f>
        <v>17.5070437401085</v>
      </c>
      <c r="M465" s="8" t="n">
        <f aca="false">PI()*L465^2/40000</f>
        <v>0.0240721851426492</v>
      </c>
      <c r="N465" s="7" t="n">
        <f aca="false">F465*$Q$3</f>
        <v>13</v>
      </c>
      <c r="O465" s="3"/>
      <c r="P465" s="3"/>
      <c r="Q465" s="3"/>
    </row>
    <row r="466" customFormat="false" ht="15" hidden="false" customHeight="false" outlineLevel="0" collapsed="false">
      <c r="A466" s="2" t="s">
        <v>50</v>
      </c>
      <c r="B466" s="2" t="n">
        <v>1</v>
      </c>
      <c r="C466" s="2" t="n">
        <v>39</v>
      </c>
      <c r="D466" s="2" t="n">
        <v>1</v>
      </c>
      <c r="E466" s="2" t="n">
        <v>620</v>
      </c>
      <c r="F466" s="2" t="n">
        <v>160</v>
      </c>
      <c r="G466" s="2" t="s">
        <v>37</v>
      </c>
      <c r="H466" s="6" t="str">
        <f aca="false">A466&amp;"_"&amp;B466</f>
        <v>jureia_1</v>
      </c>
      <c r="I466" s="6" t="str">
        <f aca="false">H466&amp;"_"&amp;C466&amp;"_"&amp;G466</f>
        <v>jureia_1_39_Tabebuia cassinoides</v>
      </c>
      <c r="J466" s="6" t="n">
        <f aca="false">IF(COUNTIF($I$2:I466,I466)=1,1,0)</f>
        <v>1</v>
      </c>
      <c r="K466" s="6" t="n">
        <f aca="false">E466*$Q$2</f>
        <v>62</v>
      </c>
      <c r="L466" s="7" t="n">
        <f aca="false">K466/PI()</f>
        <v>19.735212943395</v>
      </c>
      <c r="M466" s="8" t="n">
        <f aca="false">PI()*L466^2/40000</f>
        <v>0.0305895800622623</v>
      </c>
      <c r="N466" s="7" t="n">
        <f aca="false">F466*$Q$3</f>
        <v>16</v>
      </c>
      <c r="O466" s="3"/>
      <c r="P466" s="3"/>
      <c r="Q466" s="3"/>
    </row>
    <row r="467" customFormat="false" ht="15" hidden="false" customHeight="false" outlineLevel="0" collapsed="false">
      <c r="A467" s="2" t="s">
        <v>50</v>
      </c>
      <c r="B467" s="2" t="n">
        <v>1</v>
      </c>
      <c r="C467" s="2" t="n">
        <v>40</v>
      </c>
      <c r="D467" s="2" t="n">
        <v>1</v>
      </c>
      <c r="E467" s="2" t="n">
        <v>200</v>
      </c>
      <c r="F467" s="2" t="n">
        <v>70</v>
      </c>
      <c r="G467" s="2" t="s">
        <v>52</v>
      </c>
      <c r="H467" s="6" t="str">
        <f aca="false">A467&amp;"_"&amp;B467</f>
        <v>jureia_1</v>
      </c>
      <c r="I467" s="6" t="str">
        <f aca="false">H467&amp;"_"&amp;C467&amp;"_"&amp;G467</f>
        <v>jureia_1_40_jussara</v>
      </c>
      <c r="J467" s="6" t="n">
        <f aca="false">IF(COUNTIF($I$2:I467,I467)=1,1,0)</f>
        <v>1</v>
      </c>
      <c r="K467" s="6" t="n">
        <f aca="false">E467*$Q$2</f>
        <v>20</v>
      </c>
      <c r="L467" s="7" t="n">
        <f aca="false">K467/PI()</f>
        <v>6.36619772367581</v>
      </c>
      <c r="M467" s="8" t="n">
        <f aca="false">PI()*L467^2/40000</f>
        <v>0.00318309886183791</v>
      </c>
      <c r="N467" s="7" t="n">
        <f aca="false">F467*$Q$3</f>
        <v>7</v>
      </c>
      <c r="O467" s="3"/>
      <c r="P467" s="3"/>
      <c r="Q467" s="3"/>
    </row>
    <row r="468" customFormat="false" ht="15" hidden="false" customHeight="false" outlineLevel="0" collapsed="false">
      <c r="A468" s="2" t="s">
        <v>50</v>
      </c>
      <c r="B468" s="2" t="n">
        <v>2</v>
      </c>
      <c r="C468" s="2" t="n">
        <v>41</v>
      </c>
      <c r="D468" s="2" t="n">
        <v>1</v>
      </c>
      <c r="E468" s="2" t="n">
        <v>340</v>
      </c>
      <c r="F468" s="2" t="n">
        <v>100</v>
      </c>
      <c r="G468" s="2" t="s">
        <v>37</v>
      </c>
      <c r="H468" s="6" t="str">
        <f aca="false">A468&amp;"_"&amp;B468</f>
        <v>jureia_2</v>
      </c>
      <c r="I468" s="6" t="str">
        <f aca="false">H468&amp;"_"&amp;C468&amp;"_"&amp;G468</f>
        <v>jureia_2_41_Tabebuia cassinoides</v>
      </c>
      <c r="J468" s="6" t="n">
        <f aca="false">IF(COUNTIF($I$2:I468,I468)=1,1,0)</f>
        <v>1</v>
      </c>
      <c r="K468" s="6" t="n">
        <f aca="false">E468*$Q$2</f>
        <v>34</v>
      </c>
      <c r="L468" s="7" t="n">
        <f aca="false">K468/PI()</f>
        <v>10.8225361302489</v>
      </c>
      <c r="M468" s="8" t="n">
        <f aca="false">PI()*L468^2/40000</f>
        <v>0.00919915571071155</v>
      </c>
      <c r="N468" s="7" t="n">
        <f aca="false">F468*$Q$3</f>
        <v>10</v>
      </c>
      <c r="O468" s="3"/>
      <c r="P468" s="3"/>
      <c r="Q468" s="3"/>
    </row>
    <row r="469" customFormat="false" ht="15" hidden="false" customHeight="false" outlineLevel="0" collapsed="false">
      <c r="A469" s="2" t="s">
        <v>50</v>
      </c>
      <c r="B469" s="2" t="n">
        <v>2</v>
      </c>
      <c r="C469" s="2" t="n">
        <v>42</v>
      </c>
      <c r="D469" s="2" t="n">
        <v>1</v>
      </c>
      <c r="E469" s="2" t="n">
        <v>310</v>
      </c>
      <c r="F469" s="2" t="n">
        <v>90</v>
      </c>
      <c r="G469" s="2" t="s">
        <v>52</v>
      </c>
      <c r="H469" s="6" t="str">
        <f aca="false">A469&amp;"_"&amp;B469</f>
        <v>jureia_2</v>
      </c>
      <c r="I469" s="6" t="str">
        <f aca="false">H469&amp;"_"&amp;C469&amp;"_"&amp;G469</f>
        <v>jureia_2_42_jussara</v>
      </c>
      <c r="J469" s="6" t="n">
        <f aca="false">IF(COUNTIF($I$2:I469,I469)=1,1,0)</f>
        <v>1</v>
      </c>
      <c r="K469" s="6" t="n">
        <f aca="false">E469*$Q$2</f>
        <v>31</v>
      </c>
      <c r="L469" s="7" t="n">
        <f aca="false">K469/PI()</f>
        <v>9.86760647169751</v>
      </c>
      <c r="M469" s="8" t="n">
        <f aca="false">PI()*L469^2/40000</f>
        <v>0.00764739501556557</v>
      </c>
      <c r="N469" s="7" t="n">
        <f aca="false">F469*$Q$3</f>
        <v>9</v>
      </c>
      <c r="O469" s="3"/>
      <c r="P469" s="3"/>
      <c r="Q469" s="3"/>
    </row>
    <row r="470" customFormat="false" ht="15" hidden="false" customHeight="false" outlineLevel="0" collapsed="false">
      <c r="A470" s="2" t="s">
        <v>50</v>
      </c>
      <c r="B470" s="2" t="n">
        <v>2</v>
      </c>
      <c r="C470" s="2" t="n">
        <v>43</v>
      </c>
      <c r="D470" s="2" t="n">
        <v>1</v>
      </c>
      <c r="E470" s="2" t="n">
        <v>420</v>
      </c>
      <c r="F470" s="2" t="n">
        <v>160</v>
      </c>
      <c r="G470" s="2" t="s">
        <v>52</v>
      </c>
      <c r="H470" s="6" t="str">
        <f aca="false">A470&amp;"_"&amp;B470</f>
        <v>jureia_2</v>
      </c>
      <c r="I470" s="6" t="str">
        <f aca="false">H470&amp;"_"&amp;C470&amp;"_"&amp;G470</f>
        <v>jureia_2_43_jussara</v>
      </c>
      <c r="J470" s="6" t="n">
        <f aca="false">IF(COUNTIF($I$2:I470,I470)=1,1,0)</f>
        <v>1</v>
      </c>
      <c r="K470" s="6" t="n">
        <f aca="false">E470*$Q$2</f>
        <v>42</v>
      </c>
      <c r="L470" s="7" t="n">
        <f aca="false">K470/PI()</f>
        <v>13.3690152197192</v>
      </c>
      <c r="M470" s="8" t="n">
        <f aca="false">PI()*L470^2/40000</f>
        <v>0.0140374659807052</v>
      </c>
      <c r="N470" s="7" t="n">
        <f aca="false">F470*$Q$3</f>
        <v>16</v>
      </c>
      <c r="O470" s="3"/>
      <c r="P470" s="3"/>
      <c r="Q470" s="3"/>
    </row>
    <row r="471" customFormat="false" ht="15" hidden="false" customHeight="false" outlineLevel="0" collapsed="false">
      <c r="A471" s="2" t="s">
        <v>50</v>
      </c>
      <c r="B471" s="2" t="n">
        <v>2</v>
      </c>
      <c r="C471" s="2" t="n">
        <v>44</v>
      </c>
      <c r="D471" s="2" t="n">
        <v>1</v>
      </c>
      <c r="E471" s="2" t="n">
        <v>380</v>
      </c>
      <c r="F471" s="2" t="n">
        <v>150</v>
      </c>
      <c r="G471" s="2" t="s">
        <v>58</v>
      </c>
      <c r="H471" s="6" t="str">
        <f aca="false">A471&amp;"_"&amp;B471</f>
        <v>jureia_2</v>
      </c>
      <c r="I471" s="6" t="str">
        <f aca="false">H471&amp;"_"&amp;C471&amp;"_"&amp;G471</f>
        <v>jureia_2_44_bombacaceae</v>
      </c>
      <c r="J471" s="6" t="n">
        <f aca="false">IF(COUNTIF($I$2:I471,I471)=1,1,0)</f>
        <v>1</v>
      </c>
      <c r="K471" s="6" t="n">
        <f aca="false">E471*$Q$2</f>
        <v>38</v>
      </c>
      <c r="L471" s="7" t="n">
        <f aca="false">K471/PI()</f>
        <v>12.095775674984</v>
      </c>
      <c r="M471" s="8" t="n">
        <f aca="false">PI()*L471^2/40000</f>
        <v>0.0114909868912348</v>
      </c>
      <c r="N471" s="7" t="n">
        <f aca="false">F471*$Q$3</f>
        <v>15</v>
      </c>
      <c r="O471" s="3"/>
      <c r="P471" s="3"/>
      <c r="Q471" s="3"/>
    </row>
    <row r="472" customFormat="false" ht="15" hidden="false" customHeight="false" outlineLevel="0" collapsed="false">
      <c r="A472" s="2" t="s">
        <v>50</v>
      </c>
      <c r="B472" s="2" t="n">
        <v>2</v>
      </c>
      <c r="C472" s="2" t="n">
        <v>45</v>
      </c>
      <c r="D472" s="2" t="n">
        <v>1</v>
      </c>
      <c r="E472" s="2" t="n">
        <v>810</v>
      </c>
      <c r="F472" s="2" t="n">
        <v>120</v>
      </c>
      <c r="G472" s="2" t="s">
        <v>37</v>
      </c>
      <c r="H472" s="6" t="str">
        <f aca="false">A472&amp;"_"&amp;B472</f>
        <v>jureia_2</v>
      </c>
      <c r="I472" s="6" t="str">
        <f aca="false">H472&amp;"_"&amp;C472&amp;"_"&amp;G472</f>
        <v>jureia_2_45_Tabebuia cassinoides</v>
      </c>
      <c r="J472" s="6" t="n">
        <f aca="false">IF(COUNTIF($I$2:I472,I472)=1,1,0)</f>
        <v>1</v>
      </c>
      <c r="K472" s="6" t="n">
        <f aca="false">E472*$Q$2</f>
        <v>81</v>
      </c>
      <c r="L472" s="7" t="n">
        <f aca="false">K472/PI()</f>
        <v>25.783100780887</v>
      </c>
      <c r="M472" s="8" t="n">
        <f aca="false">PI()*L472^2/40000</f>
        <v>0.0522107790812963</v>
      </c>
      <c r="N472" s="7" t="n">
        <f aca="false">F472*$Q$3</f>
        <v>12</v>
      </c>
      <c r="O472" s="3"/>
      <c r="P472" s="3"/>
      <c r="Q472" s="3"/>
    </row>
    <row r="473" customFormat="false" ht="15" hidden="false" customHeight="false" outlineLevel="0" collapsed="false">
      <c r="A473" s="2" t="s">
        <v>50</v>
      </c>
      <c r="B473" s="2" t="n">
        <v>2</v>
      </c>
      <c r="C473" s="2" t="n">
        <v>46</v>
      </c>
      <c r="D473" s="2" t="n">
        <v>1</v>
      </c>
      <c r="E473" s="2" t="n">
        <v>170</v>
      </c>
      <c r="F473" s="2" t="n">
        <v>80</v>
      </c>
      <c r="G473" s="2" t="s">
        <v>59</v>
      </c>
      <c r="H473" s="6" t="str">
        <f aca="false">A473&amp;"_"&amp;B473</f>
        <v>jureia_2</v>
      </c>
      <c r="I473" s="6" t="str">
        <f aca="false">H473&amp;"_"&amp;C473&amp;"_"&amp;G473</f>
        <v>jureia_2_46_Coussapoa macrocarpa</v>
      </c>
      <c r="J473" s="6" t="n">
        <f aca="false">IF(COUNTIF($I$2:I473,I473)=1,1,0)</f>
        <v>1</v>
      </c>
      <c r="K473" s="6" t="n">
        <f aca="false">E473*$Q$2</f>
        <v>17</v>
      </c>
      <c r="L473" s="7" t="n">
        <f aca="false">K473/PI()</f>
        <v>5.41126806512444</v>
      </c>
      <c r="M473" s="8" t="n">
        <f aca="false">PI()*L473^2/40000</f>
        <v>0.00229978892767789</v>
      </c>
      <c r="N473" s="7" t="n">
        <f aca="false">F473*$Q$3</f>
        <v>8</v>
      </c>
      <c r="O473" s="3"/>
      <c r="P473" s="3"/>
      <c r="Q473" s="3"/>
    </row>
    <row r="474" customFormat="false" ht="15" hidden="false" customHeight="false" outlineLevel="0" collapsed="false">
      <c r="A474" s="2" t="s">
        <v>50</v>
      </c>
      <c r="B474" s="2" t="n">
        <v>2</v>
      </c>
      <c r="C474" s="2" t="n">
        <v>47</v>
      </c>
      <c r="D474" s="2" t="n">
        <v>1</v>
      </c>
      <c r="E474" s="2" t="n">
        <v>300</v>
      </c>
      <c r="F474" s="2" t="n">
        <v>80</v>
      </c>
      <c r="G474" s="2" t="s">
        <v>52</v>
      </c>
      <c r="H474" s="6" t="str">
        <f aca="false">A474&amp;"_"&amp;B474</f>
        <v>jureia_2</v>
      </c>
      <c r="I474" s="6" t="str">
        <f aca="false">H474&amp;"_"&amp;C474&amp;"_"&amp;G474</f>
        <v>jureia_2_47_jussara</v>
      </c>
      <c r="J474" s="6" t="n">
        <f aca="false">IF(COUNTIF($I$2:I474,I474)=1,1,0)</f>
        <v>1</v>
      </c>
      <c r="K474" s="6" t="n">
        <f aca="false">E474*$Q$2</f>
        <v>30</v>
      </c>
      <c r="L474" s="7" t="n">
        <f aca="false">K474/PI()</f>
        <v>9.54929658551372</v>
      </c>
      <c r="M474" s="8" t="n">
        <f aca="false">PI()*L474^2/40000</f>
        <v>0.00716197243913529</v>
      </c>
      <c r="N474" s="7" t="n">
        <f aca="false">F474*$Q$3</f>
        <v>8</v>
      </c>
      <c r="O474" s="3"/>
      <c r="P474" s="3"/>
      <c r="Q474" s="3"/>
    </row>
    <row r="475" customFormat="false" ht="15" hidden="false" customHeight="false" outlineLevel="0" collapsed="false">
      <c r="A475" s="2" t="s">
        <v>50</v>
      </c>
      <c r="B475" s="2" t="n">
        <v>2</v>
      </c>
      <c r="C475" s="2" t="n">
        <v>48</v>
      </c>
      <c r="D475" s="2" t="n">
        <v>1</v>
      </c>
      <c r="E475" s="2" t="n">
        <v>180</v>
      </c>
      <c r="F475" s="2" t="n">
        <v>30</v>
      </c>
      <c r="G475" s="2" t="s">
        <v>52</v>
      </c>
      <c r="H475" s="6" t="str">
        <f aca="false">A475&amp;"_"&amp;B475</f>
        <v>jureia_2</v>
      </c>
      <c r="I475" s="6" t="str">
        <f aca="false">H475&amp;"_"&amp;C475&amp;"_"&amp;G475</f>
        <v>jureia_2_48_jussara</v>
      </c>
      <c r="J475" s="6" t="n">
        <f aca="false">IF(COUNTIF($I$2:I475,I475)=1,1,0)</f>
        <v>1</v>
      </c>
      <c r="K475" s="6" t="n">
        <f aca="false">E475*$Q$2</f>
        <v>18</v>
      </c>
      <c r="L475" s="7" t="n">
        <f aca="false">K475/PI()</f>
        <v>5.72957795130823</v>
      </c>
      <c r="M475" s="8" t="n">
        <f aca="false">PI()*L475^2/40000</f>
        <v>0.0025783100780887</v>
      </c>
      <c r="N475" s="7" t="n">
        <f aca="false">F475*$Q$3</f>
        <v>3</v>
      </c>
      <c r="O475" s="3"/>
      <c r="P475" s="3"/>
      <c r="Q475" s="3"/>
    </row>
    <row r="476" customFormat="false" ht="15" hidden="false" customHeight="false" outlineLevel="0" collapsed="false">
      <c r="A476" s="2" t="s">
        <v>50</v>
      </c>
      <c r="B476" s="2" t="n">
        <v>2</v>
      </c>
      <c r="C476" s="2" t="n">
        <v>49</v>
      </c>
      <c r="D476" s="2" t="n">
        <v>1</v>
      </c>
      <c r="E476" s="2" t="n">
        <v>610</v>
      </c>
      <c r="F476" s="2" t="n">
        <v>180</v>
      </c>
      <c r="G476" s="2" t="s">
        <v>37</v>
      </c>
      <c r="H476" s="6" t="str">
        <f aca="false">A476&amp;"_"&amp;B476</f>
        <v>jureia_2</v>
      </c>
      <c r="I476" s="6" t="str">
        <f aca="false">H476&amp;"_"&amp;C476&amp;"_"&amp;G476</f>
        <v>jureia_2_49_Tabebuia cassinoides</v>
      </c>
      <c r="J476" s="6" t="n">
        <f aca="false">IF(COUNTIF($I$2:I476,I476)=1,1,0)</f>
        <v>1</v>
      </c>
      <c r="K476" s="6" t="n">
        <f aca="false">E476*$Q$2</f>
        <v>61</v>
      </c>
      <c r="L476" s="7" t="n">
        <f aca="false">K476/PI()</f>
        <v>19.4169030572112</v>
      </c>
      <c r="M476" s="8" t="n">
        <f aca="false">PI()*L476^2/40000</f>
        <v>0.0296107771622471</v>
      </c>
      <c r="N476" s="7" t="n">
        <f aca="false">F476*$Q$3</f>
        <v>18</v>
      </c>
      <c r="O476" s="3"/>
      <c r="P476" s="3"/>
      <c r="Q476" s="3"/>
    </row>
    <row r="477" customFormat="false" ht="15" hidden="false" customHeight="false" outlineLevel="0" collapsed="false">
      <c r="A477" s="2" t="s">
        <v>50</v>
      </c>
      <c r="B477" s="2" t="n">
        <v>2</v>
      </c>
      <c r="C477" s="2" t="n">
        <v>50</v>
      </c>
      <c r="D477" s="2" t="n">
        <v>1</v>
      </c>
      <c r="E477" s="2" t="n">
        <v>240</v>
      </c>
      <c r="F477" s="2" t="n">
        <v>90</v>
      </c>
      <c r="G477" s="2" t="s">
        <v>52</v>
      </c>
      <c r="H477" s="6" t="str">
        <f aca="false">A477&amp;"_"&amp;B477</f>
        <v>jureia_2</v>
      </c>
      <c r="I477" s="6" t="str">
        <f aca="false">H477&amp;"_"&amp;C477&amp;"_"&amp;G477</f>
        <v>jureia_2_50_jussara</v>
      </c>
      <c r="J477" s="6" t="n">
        <f aca="false">IF(COUNTIF($I$2:I477,I477)=1,1,0)</f>
        <v>1</v>
      </c>
      <c r="K477" s="6" t="n">
        <f aca="false">E477*$Q$2</f>
        <v>24</v>
      </c>
      <c r="L477" s="7" t="n">
        <f aca="false">K477/PI()</f>
        <v>7.63943726841098</v>
      </c>
      <c r="M477" s="8" t="n">
        <f aca="false">PI()*L477^2/40000</f>
        <v>0.00458366236104659</v>
      </c>
      <c r="N477" s="7" t="n">
        <f aca="false">F477*$Q$3</f>
        <v>9</v>
      </c>
      <c r="O477" s="3"/>
      <c r="P477" s="3"/>
      <c r="Q477" s="3"/>
    </row>
    <row r="478" customFormat="false" ht="15" hidden="false" customHeight="false" outlineLevel="0" collapsed="false">
      <c r="A478" s="2" t="s">
        <v>50</v>
      </c>
      <c r="B478" s="2" t="n">
        <v>2</v>
      </c>
      <c r="C478" s="2" t="n">
        <v>51</v>
      </c>
      <c r="D478" s="2" t="n">
        <v>1</v>
      </c>
      <c r="E478" s="2" t="n">
        <v>360</v>
      </c>
      <c r="F478" s="2" t="n">
        <v>170</v>
      </c>
      <c r="G478" s="2" t="s">
        <v>37</v>
      </c>
      <c r="H478" s="6" t="str">
        <f aca="false">A478&amp;"_"&amp;B478</f>
        <v>jureia_2</v>
      </c>
      <c r="I478" s="6" t="str">
        <f aca="false">H478&amp;"_"&amp;C478&amp;"_"&amp;G478</f>
        <v>jureia_2_51_Tabebuia cassinoides</v>
      </c>
      <c r="J478" s="6" t="n">
        <f aca="false">IF(COUNTIF($I$2:I478,I478)=1,1,0)</f>
        <v>1</v>
      </c>
      <c r="K478" s="6" t="n">
        <f aca="false">E478*$Q$2</f>
        <v>36</v>
      </c>
      <c r="L478" s="7" t="n">
        <f aca="false">K478/PI()</f>
        <v>11.4591559026165</v>
      </c>
      <c r="M478" s="8" t="n">
        <f aca="false">PI()*L478^2/40000</f>
        <v>0.0103132403123548</v>
      </c>
      <c r="N478" s="7" t="n">
        <f aca="false">F478*$Q$3</f>
        <v>17</v>
      </c>
      <c r="O478" s="3"/>
      <c r="P478" s="3"/>
      <c r="Q478" s="3"/>
    </row>
    <row r="479" customFormat="false" ht="15" hidden="false" customHeight="false" outlineLevel="0" collapsed="false">
      <c r="A479" s="2" t="s">
        <v>50</v>
      </c>
      <c r="B479" s="2" t="n">
        <v>2</v>
      </c>
      <c r="C479" s="2" t="n">
        <v>51</v>
      </c>
      <c r="D479" s="2" t="n">
        <v>2</v>
      </c>
      <c r="E479" s="2" t="n">
        <v>480</v>
      </c>
      <c r="F479" s="2" t="n">
        <v>170</v>
      </c>
      <c r="G479" s="2" t="s">
        <v>37</v>
      </c>
      <c r="H479" s="6" t="str">
        <f aca="false">A479&amp;"_"&amp;B479</f>
        <v>jureia_2</v>
      </c>
      <c r="I479" s="6" t="str">
        <f aca="false">H479&amp;"_"&amp;C479&amp;"_"&amp;G479</f>
        <v>jureia_2_51_Tabebuia cassinoides</v>
      </c>
      <c r="J479" s="6" t="n">
        <f aca="false">IF(COUNTIF($I$2:I479,I479)=1,1,0)</f>
        <v>0</v>
      </c>
      <c r="K479" s="6" t="n">
        <f aca="false">E479*$Q$2</f>
        <v>48</v>
      </c>
      <c r="L479" s="7" t="n">
        <f aca="false">K479/PI()</f>
        <v>15.278874536822</v>
      </c>
      <c r="M479" s="8" t="n">
        <f aca="false">PI()*L479^2/40000</f>
        <v>0.0183346494441863</v>
      </c>
      <c r="N479" s="7" t="n">
        <f aca="false">F479*$Q$3</f>
        <v>17</v>
      </c>
      <c r="O479" s="3"/>
      <c r="P479" s="3"/>
      <c r="Q479" s="3"/>
    </row>
    <row r="480" customFormat="false" ht="15" hidden="false" customHeight="false" outlineLevel="0" collapsed="false">
      <c r="A480" s="2" t="s">
        <v>50</v>
      </c>
      <c r="B480" s="2" t="n">
        <v>2</v>
      </c>
      <c r="C480" s="2" t="n">
        <v>51</v>
      </c>
      <c r="D480" s="2" t="n">
        <v>3</v>
      </c>
      <c r="E480" s="2" t="n">
        <v>350</v>
      </c>
      <c r="F480" s="2" t="n">
        <v>170</v>
      </c>
      <c r="G480" s="2" t="s">
        <v>37</v>
      </c>
      <c r="H480" s="6" t="str">
        <f aca="false">A480&amp;"_"&amp;B480</f>
        <v>jureia_2</v>
      </c>
      <c r="I480" s="6" t="str">
        <f aca="false">H480&amp;"_"&amp;C480&amp;"_"&amp;G480</f>
        <v>jureia_2_51_Tabebuia cassinoides</v>
      </c>
      <c r="J480" s="6" t="n">
        <f aca="false">IF(COUNTIF($I$2:I480,I480)=1,1,0)</f>
        <v>0</v>
      </c>
      <c r="K480" s="6" t="n">
        <f aca="false">E480*$Q$2</f>
        <v>35</v>
      </c>
      <c r="L480" s="7" t="n">
        <f aca="false">K480/PI()</f>
        <v>11.1408460164327</v>
      </c>
      <c r="M480" s="8" t="n">
        <f aca="false">PI()*L480^2/40000</f>
        <v>0.00974824026437859</v>
      </c>
      <c r="N480" s="7" t="n">
        <f aca="false">F480*$Q$3</f>
        <v>17</v>
      </c>
      <c r="O480" s="3"/>
      <c r="P480" s="3"/>
      <c r="Q480" s="3"/>
    </row>
    <row r="481" customFormat="false" ht="15" hidden="false" customHeight="false" outlineLevel="0" collapsed="false">
      <c r="A481" s="2" t="s">
        <v>50</v>
      </c>
      <c r="B481" s="2" t="n">
        <v>2</v>
      </c>
      <c r="C481" s="2" t="n">
        <v>51</v>
      </c>
      <c r="D481" s="2" t="n">
        <v>4</v>
      </c>
      <c r="E481" s="2" t="n">
        <v>600</v>
      </c>
      <c r="F481" s="2" t="n">
        <v>170</v>
      </c>
      <c r="G481" s="2" t="s">
        <v>37</v>
      </c>
      <c r="H481" s="6" t="str">
        <f aca="false">A481&amp;"_"&amp;B481</f>
        <v>jureia_2</v>
      </c>
      <c r="I481" s="6" t="str">
        <f aca="false">H481&amp;"_"&amp;C481&amp;"_"&amp;G481</f>
        <v>jureia_2_51_Tabebuia cassinoides</v>
      </c>
      <c r="J481" s="6" t="n">
        <f aca="false">IF(COUNTIF($I$2:I481,I481)=1,1,0)</f>
        <v>0</v>
      </c>
      <c r="K481" s="6" t="n">
        <f aca="false">E481*$Q$2</f>
        <v>60</v>
      </c>
      <c r="L481" s="7" t="n">
        <f aca="false">K481/PI()</f>
        <v>19.0985931710274</v>
      </c>
      <c r="M481" s="8" t="n">
        <f aca="false">PI()*L481^2/40000</f>
        <v>0.0286478897565412</v>
      </c>
      <c r="N481" s="7" t="n">
        <f aca="false">F481*$Q$3</f>
        <v>17</v>
      </c>
      <c r="O481" s="3"/>
      <c r="P481" s="3"/>
      <c r="Q481" s="3"/>
    </row>
    <row r="482" customFormat="false" ht="15" hidden="false" customHeight="false" outlineLevel="0" collapsed="false">
      <c r="A482" s="2" t="s">
        <v>50</v>
      </c>
      <c r="B482" s="2" t="n">
        <v>2</v>
      </c>
      <c r="C482" s="2" t="n">
        <v>52</v>
      </c>
      <c r="D482" s="2" t="n">
        <v>1</v>
      </c>
      <c r="E482" s="2" t="n">
        <v>300</v>
      </c>
      <c r="F482" s="2" t="n">
        <v>70</v>
      </c>
      <c r="G482" s="2" t="s">
        <v>37</v>
      </c>
      <c r="H482" s="6" t="str">
        <f aca="false">A482&amp;"_"&amp;B482</f>
        <v>jureia_2</v>
      </c>
      <c r="I482" s="6" t="str">
        <f aca="false">H482&amp;"_"&amp;C482&amp;"_"&amp;G482</f>
        <v>jureia_2_52_Tabebuia cassinoides</v>
      </c>
      <c r="J482" s="6" t="n">
        <f aca="false">IF(COUNTIF($I$2:I482,I482)=1,1,0)</f>
        <v>1</v>
      </c>
      <c r="K482" s="6" t="n">
        <f aca="false">E482*$Q$2</f>
        <v>30</v>
      </c>
      <c r="L482" s="7" t="n">
        <f aca="false">K482/PI()</f>
        <v>9.54929658551372</v>
      </c>
      <c r="M482" s="8" t="n">
        <f aca="false">PI()*L482^2/40000</f>
        <v>0.00716197243913529</v>
      </c>
      <c r="N482" s="7" t="n">
        <f aca="false">F482*$Q$3</f>
        <v>7</v>
      </c>
      <c r="O482" s="3"/>
      <c r="P482" s="3"/>
      <c r="Q482" s="3"/>
    </row>
    <row r="483" customFormat="false" ht="15" hidden="false" customHeight="false" outlineLevel="0" collapsed="false">
      <c r="A483" s="2" t="s">
        <v>50</v>
      </c>
      <c r="B483" s="2" t="n">
        <v>2</v>
      </c>
      <c r="C483" s="2" t="n">
        <v>53</v>
      </c>
      <c r="D483" s="2" t="n">
        <v>1</v>
      </c>
      <c r="E483" s="2" t="n">
        <v>510</v>
      </c>
      <c r="F483" s="2" t="n">
        <v>120</v>
      </c>
      <c r="G483" s="2" t="s">
        <v>37</v>
      </c>
      <c r="H483" s="6" t="str">
        <f aca="false">A483&amp;"_"&amp;B483</f>
        <v>jureia_2</v>
      </c>
      <c r="I483" s="6" t="str">
        <f aca="false">H483&amp;"_"&amp;C483&amp;"_"&amp;G483</f>
        <v>jureia_2_53_Tabebuia cassinoides</v>
      </c>
      <c r="J483" s="6" t="n">
        <f aca="false">IF(COUNTIF($I$2:I483,I483)=1,1,0)</f>
        <v>1</v>
      </c>
      <c r="K483" s="6" t="n">
        <f aca="false">E483*$Q$2</f>
        <v>51</v>
      </c>
      <c r="L483" s="7" t="n">
        <f aca="false">K483/PI()</f>
        <v>16.2338041953733</v>
      </c>
      <c r="M483" s="8" t="n">
        <f aca="false">PI()*L483^2/40000</f>
        <v>0.020698100349101</v>
      </c>
      <c r="N483" s="7" t="n">
        <f aca="false">F483*$Q$3</f>
        <v>12</v>
      </c>
      <c r="O483" s="3"/>
      <c r="P483" s="3"/>
      <c r="Q483" s="3"/>
    </row>
    <row r="484" customFormat="false" ht="15" hidden="false" customHeight="false" outlineLevel="0" collapsed="false">
      <c r="A484" s="2" t="s">
        <v>50</v>
      </c>
      <c r="B484" s="2" t="n">
        <v>2</v>
      </c>
      <c r="C484" s="2" t="n">
        <v>53</v>
      </c>
      <c r="D484" s="2" t="n">
        <v>2</v>
      </c>
      <c r="E484" s="2" t="n">
        <v>310</v>
      </c>
      <c r="F484" s="2" t="n">
        <v>120</v>
      </c>
      <c r="G484" s="2" t="s">
        <v>37</v>
      </c>
      <c r="H484" s="6" t="str">
        <f aca="false">A484&amp;"_"&amp;B484</f>
        <v>jureia_2</v>
      </c>
      <c r="I484" s="6" t="str">
        <f aca="false">H484&amp;"_"&amp;C484&amp;"_"&amp;G484</f>
        <v>jureia_2_53_Tabebuia cassinoides</v>
      </c>
      <c r="J484" s="6" t="n">
        <f aca="false">IF(COUNTIF($I$2:I484,I484)=1,1,0)</f>
        <v>0</v>
      </c>
      <c r="K484" s="6" t="n">
        <f aca="false">E484*$Q$2</f>
        <v>31</v>
      </c>
      <c r="L484" s="7" t="n">
        <f aca="false">K484/PI()</f>
        <v>9.86760647169751</v>
      </c>
      <c r="M484" s="8" t="n">
        <f aca="false">PI()*L484^2/40000</f>
        <v>0.00764739501556557</v>
      </c>
      <c r="N484" s="7" t="n">
        <f aca="false">F484*$Q$3</f>
        <v>12</v>
      </c>
      <c r="O484" s="3"/>
      <c r="P484" s="3"/>
      <c r="Q484" s="3"/>
    </row>
    <row r="485" customFormat="false" ht="15" hidden="false" customHeight="false" outlineLevel="0" collapsed="false">
      <c r="A485" s="2" t="s">
        <v>50</v>
      </c>
      <c r="B485" s="2" t="n">
        <v>2</v>
      </c>
      <c r="C485" s="2" t="n">
        <v>53</v>
      </c>
      <c r="D485" s="2" t="n">
        <v>3</v>
      </c>
      <c r="E485" s="2" t="n">
        <v>670</v>
      </c>
      <c r="F485" s="2" t="n">
        <v>120</v>
      </c>
      <c r="G485" s="2" t="s">
        <v>37</v>
      </c>
      <c r="H485" s="6" t="str">
        <f aca="false">A485&amp;"_"&amp;B485</f>
        <v>jureia_2</v>
      </c>
      <c r="I485" s="6" t="str">
        <f aca="false">H485&amp;"_"&amp;C485&amp;"_"&amp;G485</f>
        <v>jureia_2_53_Tabebuia cassinoides</v>
      </c>
      <c r="J485" s="6" t="n">
        <f aca="false">IF(COUNTIF($I$2:I485,I485)=1,1,0)</f>
        <v>0</v>
      </c>
      <c r="K485" s="6" t="n">
        <f aca="false">E485*$Q$2</f>
        <v>67</v>
      </c>
      <c r="L485" s="7" t="n">
        <f aca="false">K485/PI()</f>
        <v>21.326762374314</v>
      </c>
      <c r="M485" s="8" t="n">
        <f aca="false">PI()*L485^2/40000</f>
        <v>0.0357223269769759</v>
      </c>
      <c r="N485" s="7" t="n">
        <f aca="false">F485*$Q$3</f>
        <v>12</v>
      </c>
      <c r="O485" s="3"/>
      <c r="P485" s="3"/>
      <c r="Q485" s="3"/>
    </row>
    <row r="486" customFormat="false" ht="15" hidden="false" customHeight="false" outlineLevel="0" collapsed="false">
      <c r="A486" s="2" t="s">
        <v>50</v>
      </c>
      <c r="B486" s="2" t="n">
        <v>2</v>
      </c>
      <c r="C486" s="2" t="n">
        <v>54</v>
      </c>
      <c r="D486" s="2" t="n">
        <v>1</v>
      </c>
      <c r="E486" s="2" t="n">
        <v>630</v>
      </c>
      <c r="F486" s="2" t="n">
        <v>110</v>
      </c>
      <c r="G486" s="2" t="s">
        <v>53</v>
      </c>
      <c r="H486" s="6" t="str">
        <f aca="false">A486&amp;"_"&amp;B486</f>
        <v>jureia_2</v>
      </c>
      <c r="I486" s="6" t="str">
        <f aca="false">H486&amp;"_"&amp;C486&amp;"_"&amp;G486</f>
        <v>jureia_2_54_Pisonia sp</v>
      </c>
      <c r="J486" s="6" t="n">
        <f aca="false">IF(COUNTIF($I$2:I486,I486)=1,1,0)</f>
        <v>1</v>
      </c>
      <c r="K486" s="6" t="n">
        <f aca="false">E486*$Q$2</f>
        <v>63</v>
      </c>
      <c r="L486" s="7" t="n">
        <f aca="false">K486/PI()</f>
        <v>20.0535228295788</v>
      </c>
      <c r="M486" s="8" t="n">
        <f aca="false">PI()*L486^2/40000</f>
        <v>0.0315842984565866</v>
      </c>
      <c r="N486" s="7" t="n">
        <f aca="false">F486*$Q$3</f>
        <v>11</v>
      </c>
      <c r="O486" s="3"/>
      <c r="P486" s="3"/>
      <c r="Q486" s="3"/>
    </row>
    <row r="487" customFormat="false" ht="15" hidden="false" customHeight="false" outlineLevel="0" collapsed="false">
      <c r="A487" s="2" t="s">
        <v>50</v>
      </c>
      <c r="B487" s="2" t="n">
        <v>2</v>
      </c>
      <c r="C487" s="2" t="n">
        <v>55</v>
      </c>
      <c r="D487" s="2" t="n">
        <v>1</v>
      </c>
      <c r="E487" s="2" t="n">
        <v>370</v>
      </c>
      <c r="F487" s="2" t="n">
        <v>120</v>
      </c>
      <c r="G487" s="2" t="s">
        <v>52</v>
      </c>
      <c r="H487" s="6" t="str">
        <f aca="false">A487&amp;"_"&amp;B487</f>
        <v>jureia_2</v>
      </c>
      <c r="I487" s="6" t="str">
        <f aca="false">H487&amp;"_"&amp;C487&amp;"_"&amp;G487</f>
        <v>jureia_2_55_jussara</v>
      </c>
      <c r="J487" s="6" t="n">
        <f aca="false">IF(COUNTIF($I$2:I487,I487)=1,1,0)</f>
        <v>1</v>
      </c>
      <c r="K487" s="6" t="n">
        <f aca="false">E487*$Q$2</f>
        <v>37</v>
      </c>
      <c r="L487" s="7" t="n">
        <f aca="false">K487/PI()</f>
        <v>11.7774657888003</v>
      </c>
      <c r="M487" s="8" t="n">
        <f aca="false">PI()*L487^2/40000</f>
        <v>0.0108941558546402</v>
      </c>
      <c r="N487" s="7" t="n">
        <f aca="false">F487*$Q$3</f>
        <v>12</v>
      </c>
      <c r="O487" s="3"/>
      <c r="P487" s="3"/>
      <c r="Q487" s="3"/>
    </row>
    <row r="488" customFormat="false" ht="15" hidden="false" customHeight="false" outlineLevel="0" collapsed="false">
      <c r="A488" s="2" t="s">
        <v>50</v>
      </c>
      <c r="B488" s="2" t="n">
        <v>2</v>
      </c>
      <c r="C488" s="2" t="n">
        <v>56</v>
      </c>
      <c r="D488" s="2" t="n">
        <v>1</v>
      </c>
      <c r="E488" s="2" t="n">
        <v>330</v>
      </c>
      <c r="F488" s="2" t="n">
        <v>150</v>
      </c>
      <c r="G488" s="2" t="s">
        <v>52</v>
      </c>
      <c r="H488" s="6" t="str">
        <f aca="false">A488&amp;"_"&amp;B488</f>
        <v>jureia_2</v>
      </c>
      <c r="I488" s="6" t="str">
        <f aca="false">H488&amp;"_"&amp;C488&amp;"_"&amp;G488</f>
        <v>jureia_2_56_jussara</v>
      </c>
      <c r="J488" s="6" t="n">
        <f aca="false">IF(COUNTIF($I$2:I488,I488)=1,1,0)</f>
        <v>1</v>
      </c>
      <c r="K488" s="6" t="n">
        <f aca="false">E488*$Q$2</f>
        <v>33</v>
      </c>
      <c r="L488" s="7" t="n">
        <f aca="false">K488/PI()</f>
        <v>10.5042262440651</v>
      </c>
      <c r="M488" s="8" t="n">
        <f aca="false">PI()*L488^2/40000</f>
        <v>0.0086659866513537</v>
      </c>
      <c r="N488" s="7" t="n">
        <f aca="false">F488*$Q$3</f>
        <v>15</v>
      </c>
      <c r="O488" s="3"/>
      <c r="P488" s="3"/>
      <c r="Q488" s="3"/>
    </row>
    <row r="489" customFormat="false" ht="15" hidden="false" customHeight="false" outlineLevel="0" collapsed="false">
      <c r="A489" s="2" t="s">
        <v>50</v>
      </c>
      <c r="B489" s="2" t="n">
        <v>2</v>
      </c>
      <c r="C489" s="2" t="n">
        <v>57</v>
      </c>
      <c r="D489" s="2" t="n">
        <v>1</v>
      </c>
      <c r="E489" s="2" t="n">
        <v>840</v>
      </c>
      <c r="F489" s="2" t="n">
        <v>120</v>
      </c>
      <c r="G489" s="2" t="s">
        <v>60</v>
      </c>
      <c r="H489" s="6" t="str">
        <f aca="false">A489&amp;"_"&amp;B489</f>
        <v>jureia_2</v>
      </c>
      <c r="I489" s="6" t="str">
        <f aca="false">H489&amp;"_"&amp;C489&amp;"_"&amp;G489</f>
        <v>jureia_2_57_Alchornea triplinervia</v>
      </c>
      <c r="J489" s="6" t="n">
        <f aca="false">IF(COUNTIF($I$2:I489,I489)=1,1,0)</f>
        <v>1</v>
      </c>
      <c r="K489" s="6" t="n">
        <f aca="false">E489*$Q$2</f>
        <v>84</v>
      </c>
      <c r="L489" s="7" t="n">
        <f aca="false">K489/PI()</f>
        <v>26.7380304394384</v>
      </c>
      <c r="M489" s="8" t="n">
        <f aca="false">PI()*L489^2/40000</f>
        <v>0.0561498639228207</v>
      </c>
      <c r="N489" s="7" t="n">
        <f aca="false">F489*$Q$3</f>
        <v>12</v>
      </c>
      <c r="O489" s="3"/>
      <c r="P489" s="3"/>
      <c r="Q489" s="3"/>
    </row>
    <row r="490" customFormat="false" ht="15" hidden="false" customHeight="false" outlineLevel="0" collapsed="false">
      <c r="A490" s="2" t="s">
        <v>50</v>
      </c>
      <c r="B490" s="2" t="n">
        <v>2</v>
      </c>
      <c r="C490" s="2" t="n">
        <v>58</v>
      </c>
      <c r="D490" s="2" t="n">
        <v>1</v>
      </c>
      <c r="E490" s="2" t="n">
        <v>350</v>
      </c>
      <c r="F490" s="2" t="n">
        <v>140</v>
      </c>
      <c r="G490" s="2" t="s">
        <v>37</v>
      </c>
      <c r="H490" s="6" t="str">
        <f aca="false">A490&amp;"_"&amp;B490</f>
        <v>jureia_2</v>
      </c>
      <c r="I490" s="6" t="str">
        <f aca="false">H490&amp;"_"&amp;C490&amp;"_"&amp;G490</f>
        <v>jureia_2_58_Tabebuia cassinoides</v>
      </c>
      <c r="J490" s="6" t="n">
        <f aca="false">IF(COUNTIF($I$2:I490,I490)=1,1,0)</f>
        <v>1</v>
      </c>
      <c r="K490" s="6" t="n">
        <f aca="false">E490*$Q$2</f>
        <v>35</v>
      </c>
      <c r="L490" s="7" t="n">
        <f aca="false">K490/PI()</f>
        <v>11.1408460164327</v>
      </c>
      <c r="M490" s="8" t="n">
        <f aca="false">PI()*L490^2/40000</f>
        <v>0.00974824026437859</v>
      </c>
      <c r="N490" s="7" t="n">
        <f aca="false">F490*$Q$3</f>
        <v>14</v>
      </c>
      <c r="O490" s="3"/>
      <c r="P490" s="3"/>
      <c r="Q490" s="3"/>
    </row>
    <row r="491" customFormat="false" ht="15" hidden="false" customHeight="false" outlineLevel="0" collapsed="false">
      <c r="A491" s="2" t="s">
        <v>50</v>
      </c>
      <c r="B491" s="2" t="n">
        <v>2</v>
      </c>
      <c r="C491" s="2" t="n">
        <v>58</v>
      </c>
      <c r="D491" s="2" t="n">
        <v>2</v>
      </c>
      <c r="E491" s="2" t="n">
        <v>800</v>
      </c>
      <c r="F491" s="2" t="n">
        <v>140</v>
      </c>
      <c r="G491" s="2" t="s">
        <v>37</v>
      </c>
      <c r="H491" s="6" t="str">
        <f aca="false">A491&amp;"_"&amp;B491</f>
        <v>jureia_2</v>
      </c>
      <c r="I491" s="6" t="str">
        <f aca="false">H491&amp;"_"&amp;C491&amp;"_"&amp;G491</f>
        <v>jureia_2_58_Tabebuia cassinoides</v>
      </c>
      <c r="J491" s="6" t="n">
        <f aca="false">IF(COUNTIF($I$2:I491,I491)=1,1,0)</f>
        <v>0</v>
      </c>
      <c r="K491" s="6" t="n">
        <f aca="false">E491*$Q$2</f>
        <v>80</v>
      </c>
      <c r="L491" s="7" t="n">
        <f aca="false">K491/PI()</f>
        <v>25.4647908947033</v>
      </c>
      <c r="M491" s="8" t="n">
        <f aca="false">PI()*L491^2/40000</f>
        <v>0.0509295817894065</v>
      </c>
      <c r="N491" s="7" t="n">
        <f aca="false">F491*$Q$3</f>
        <v>14</v>
      </c>
      <c r="O491" s="3"/>
      <c r="P491" s="3"/>
      <c r="Q491" s="3"/>
    </row>
    <row r="492" customFormat="false" ht="15" hidden="false" customHeight="false" outlineLevel="0" collapsed="false">
      <c r="A492" s="2" t="s">
        <v>50</v>
      </c>
      <c r="B492" s="2" t="n">
        <v>2</v>
      </c>
      <c r="C492" s="2" t="n">
        <v>58</v>
      </c>
      <c r="D492" s="2" t="n">
        <v>3</v>
      </c>
      <c r="E492" s="2" t="n">
        <v>510</v>
      </c>
      <c r="F492" s="2" t="n">
        <v>140</v>
      </c>
      <c r="G492" s="2" t="s">
        <v>37</v>
      </c>
      <c r="H492" s="6" t="str">
        <f aca="false">A492&amp;"_"&amp;B492</f>
        <v>jureia_2</v>
      </c>
      <c r="I492" s="6" t="str">
        <f aca="false">H492&amp;"_"&amp;C492&amp;"_"&amp;G492</f>
        <v>jureia_2_58_Tabebuia cassinoides</v>
      </c>
      <c r="J492" s="6" t="n">
        <f aca="false">IF(COUNTIF($I$2:I492,I492)=1,1,0)</f>
        <v>0</v>
      </c>
      <c r="K492" s="6" t="n">
        <f aca="false">E492*$Q$2</f>
        <v>51</v>
      </c>
      <c r="L492" s="7" t="n">
        <f aca="false">K492/PI()</f>
        <v>16.2338041953733</v>
      </c>
      <c r="M492" s="8" t="n">
        <f aca="false">PI()*L492^2/40000</f>
        <v>0.020698100349101</v>
      </c>
      <c r="N492" s="7" t="n">
        <f aca="false">F492*$Q$3</f>
        <v>14</v>
      </c>
      <c r="O492" s="3"/>
      <c r="P492" s="3"/>
      <c r="Q492" s="3"/>
    </row>
    <row r="493" customFormat="false" ht="15" hidden="false" customHeight="false" outlineLevel="0" collapsed="false">
      <c r="A493" s="2" t="s">
        <v>50</v>
      </c>
      <c r="B493" s="2" t="n">
        <v>2</v>
      </c>
      <c r="C493" s="2" t="n">
        <v>58</v>
      </c>
      <c r="D493" s="2" t="n">
        <v>4</v>
      </c>
      <c r="E493" s="2" t="n">
        <v>640</v>
      </c>
      <c r="F493" s="2" t="n">
        <v>140</v>
      </c>
      <c r="G493" s="2" t="s">
        <v>37</v>
      </c>
      <c r="H493" s="6" t="str">
        <f aca="false">A493&amp;"_"&amp;B493</f>
        <v>jureia_2</v>
      </c>
      <c r="I493" s="6" t="str">
        <f aca="false">H493&amp;"_"&amp;C493&amp;"_"&amp;G493</f>
        <v>jureia_2_58_Tabebuia cassinoides</v>
      </c>
      <c r="J493" s="6" t="n">
        <f aca="false">IF(COUNTIF($I$2:I493,I493)=1,1,0)</f>
        <v>0</v>
      </c>
      <c r="K493" s="6" t="n">
        <f aca="false">E493*$Q$2</f>
        <v>64</v>
      </c>
      <c r="L493" s="7" t="n">
        <f aca="false">K493/PI()</f>
        <v>20.3718327157626</v>
      </c>
      <c r="M493" s="8" t="n">
        <f aca="false">PI()*L493^2/40000</f>
        <v>0.0325949323452202</v>
      </c>
      <c r="N493" s="7" t="n">
        <f aca="false">F493*$Q$3</f>
        <v>14</v>
      </c>
      <c r="O493" s="3"/>
      <c r="P493" s="3"/>
      <c r="Q493" s="3"/>
    </row>
    <row r="494" customFormat="false" ht="15" hidden="false" customHeight="false" outlineLevel="0" collapsed="false">
      <c r="A494" s="2" t="s">
        <v>50</v>
      </c>
      <c r="B494" s="2" t="n">
        <v>2</v>
      </c>
      <c r="C494" s="2" t="n">
        <v>59</v>
      </c>
      <c r="D494" s="2" t="n">
        <v>1</v>
      </c>
      <c r="E494" s="2" t="n">
        <v>260</v>
      </c>
      <c r="F494" s="2" t="n">
        <v>80</v>
      </c>
      <c r="G494" s="2" t="s">
        <v>52</v>
      </c>
      <c r="H494" s="6" t="str">
        <f aca="false">A494&amp;"_"&amp;B494</f>
        <v>jureia_2</v>
      </c>
      <c r="I494" s="6" t="str">
        <f aca="false">H494&amp;"_"&amp;C494&amp;"_"&amp;G494</f>
        <v>jureia_2_59_jussara</v>
      </c>
      <c r="J494" s="6" t="n">
        <f aca="false">IF(COUNTIF($I$2:I494,I494)=1,1,0)</f>
        <v>1</v>
      </c>
      <c r="K494" s="6" t="n">
        <f aca="false">E494*$Q$2</f>
        <v>26</v>
      </c>
      <c r="L494" s="7" t="n">
        <f aca="false">K494/PI()</f>
        <v>8.27605704077856</v>
      </c>
      <c r="M494" s="8" t="n">
        <f aca="false">PI()*L494^2/40000</f>
        <v>0.00537943707650606</v>
      </c>
      <c r="N494" s="7" t="n">
        <f aca="false">F494*$Q$3</f>
        <v>8</v>
      </c>
      <c r="O494" s="3"/>
      <c r="P494" s="3"/>
      <c r="Q494" s="3"/>
    </row>
    <row r="495" customFormat="false" ht="15" hidden="false" customHeight="false" outlineLevel="0" collapsed="false">
      <c r="A495" s="2" t="s">
        <v>50</v>
      </c>
      <c r="B495" s="2" t="n">
        <v>2</v>
      </c>
      <c r="C495" s="2" t="n">
        <v>60</v>
      </c>
      <c r="D495" s="2" t="n">
        <v>1</v>
      </c>
      <c r="E495" s="2" t="n">
        <v>400</v>
      </c>
      <c r="F495" s="2" t="n">
        <v>100</v>
      </c>
      <c r="G495" s="2" t="s">
        <v>44</v>
      </c>
      <c r="H495" s="6" t="str">
        <f aca="false">A495&amp;"_"&amp;B495</f>
        <v>jureia_2</v>
      </c>
      <c r="I495" s="6" t="str">
        <f aca="false">H495&amp;"_"&amp;C495&amp;"_"&amp;G495</f>
        <v>jureia_2_60_Psidium sp</v>
      </c>
      <c r="J495" s="6" t="n">
        <f aca="false">IF(COUNTIF($I$2:I495,I495)=1,1,0)</f>
        <v>1</v>
      </c>
      <c r="K495" s="6" t="n">
        <f aca="false">E495*$Q$2</f>
        <v>40</v>
      </c>
      <c r="L495" s="7" t="n">
        <f aca="false">K495/PI()</f>
        <v>12.7323954473516</v>
      </c>
      <c r="M495" s="8" t="n">
        <f aca="false">PI()*L495^2/40000</f>
        <v>0.0127323954473516</v>
      </c>
      <c r="N495" s="7" t="n">
        <f aca="false">F495*$Q$3</f>
        <v>10</v>
      </c>
      <c r="O495" s="3"/>
      <c r="P495" s="3"/>
      <c r="Q495" s="3"/>
    </row>
    <row r="496" customFormat="false" ht="15" hidden="false" customHeight="false" outlineLevel="0" collapsed="false">
      <c r="A496" s="2" t="s">
        <v>50</v>
      </c>
      <c r="B496" s="2" t="n">
        <v>2</v>
      </c>
      <c r="C496" s="2" t="n">
        <v>60</v>
      </c>
      <c r="D496" s="2" t="n">
        <v>2</v>
      </c>
      <c r="E496" s="2" t="n">
        <v>390</v>
      </c>
      <c r="F496" s="2" t="n">
        <v>100</v>
      </c>
      <c r="G496" s="2" t="s">
        <v>44</v>
      </c>
      <c r="H496" s="6" t="str">
        <f aca="false">A496&amp;"_"&amp;B496</f>
        <v>jureia_2</v>
      </c>
      <c r="I496" s="6" t="str">
        <f aca="false">H496&amp;"_"&amp;C496&amp;"_"&amp;G496</f>
        <v>jureia_2_60_Psidium sp</v>
      </c>
      <c r="J496" s="6" t="n">
        <f aca="false">IF(COUNTIF($I$2:I496,I496)=1,1,0)</f>
        <v>0</v>
      </c>
      <c r="K496" s="6" t="n">
        <f aca="false">E496*$Q$2</f>
        <v>39</v>
      </c>
      <c r="L496" s="7" t="n">
        <f aca="false">K496/PI()</f>
        <v>12.4140855611678</v>
      </c>
      <c r="M496" s="8" t="n">
        <f aca="false">PI()*L496^2/40000</f>
        <v>0.0121037334221386</v>
      </c>
      <c r="N496" s="7" t="n">
        <f aca="false">F496*$Q$3</f>
        <v>10</v>
      </c>
      <c r="O496" s="3"/>
      <c r="P496" s="3"/>
      <c r="Q496" s="3"/>
    </row>
    <row r="497" customFormat="false" ht="15" hidden="false" customHeight="false" outlineLevel="0" collapsed="false">
      <c r="A497" s="2" t="s">
        <v>50</v>
      </c>
      <c r="B497" s="2" t="n">
        <v>2</v>
      </c>
      <c r="C497" s="2" t="n">
        <v>60</v>
      </c>
      <c r="D497" s="2" t="n">
        <v>3</v>
      </c>
      <c r="E497" s="2" t="n">
        <v>420</v>
      </c>
      <c r="F497" s="2" t="n">
        <v>100</v>
      </c>
      <c r="G497" s="2" t="s">
        <v>44</v>
      </c>
      <c r="H497" s="6" t="str">
        <f aca="false">A497&amp;"_"&amp;B497</f>
        <v>jureia_2</v>
      </c>
      <c r="I497" s="6" t="str">
        <f aca="false">H497&amp;"_"&amp;C497&amp;"_"&amp;G497</f>
        <v>jureia_2_60_Psidium sp</v>
      </c>
      <c r="J497" s="6" t="n">
        <f aca="false">IF(COUNTIF($I$2:I497,I497)=1,1,0)</f>
        <v>0</v>
      </c>
      <c r="K497" s="6" t="n">
        <f aca="false">E497*$Q$2</f>
        <v>42</v>
      </c>
      <c r="L497" s="7" t="n">
        <f aca="false">K497/PI()</f>
        <v>13.3690152197192</v>
      </c>
      <c r="M497" s="8" t="n">
        <f aca="false">PI()*L497^2/40000</f>
        <v>0.0140374659807052</v>
      </c>
      <c r="N497" s="7" t="n">
        <f aca="false">F497*$Q$3</f>
        <v>10</v>
      </c>
      <c r="O497" s="3"/>
      <c r="P497" s="3"/>
      <c r="Q497" s="3"/>
    </row>
    <row r="498" customFormat="false" ht="15" hidden="false" customHeight="false" outlineLevel="0" collapsed="false">
      <c r="A498" s="2" t="s">
        <v>50</v>
      </c>
      <c r="B498" s="2" t="n">
        <v>2</v>
      </c>
      <c r="C498" s="2" t="n">
        <v>60</v>
      </c>
      <c r="D498" s="2" t="n">
        <v>4</v>
      </c>
      <c r="E498" s="2" t="n">
        <v>180</v>
      </c>
      <c r="F498" s="2" t="n">
        <v>100</v>
      </c>
      <c r="G498" s="2" t="s">
        <v>44</v>
      </c>
      <c r="H498" s="6" t="str">
        <f aca="false">A498&amp;"_"&amp;B498</f>
        <v>jureia_2</v>
      </c>
      <c r="I498" s="6" t="str">
        <f aca="false">H498&amp;"_"&amp;C498&amp;"_"&amp;G498</f>
        <v>jureia_2_60_Psidium sp</v>
      </c>
      <c r="J498" s="6" t="n">
        <f aca="false">IF(COUNTIF($I$2:I498,I498)=1,1,0)</f>
        <v>0</v>
      </c>
      <c r="K498" s="6" t="n">
        <f aca="false">E498*$Q$2</f>
        <v>18</v>
      </c>
      <c r="L498" s="7" t="n">
        <f aca="false">K498/PI()</f>
        <v>5.72957795130823</v>
      </c>
      <c r="M498" s="8" t="n">
        <f aca="false">PI()*L498^2/40000</f>
        <v>0.0025783100780887</v>
      </c>
      <c r="N498" s="7" t="n">
        <f aca="false">F498*$Q$3</f>
        <v>10</v>
      </c>
      <c r="O498" s="3"/>
      <c r="P498" s="3"/>
      <c r="Q498" s="3"/>
    </row>
    <row r="499" customFormat="false" ht="15" hidden="false" customHeight="false" outlineLevel="0" collapsed="false">
      <c r="A499" s="2" t="s">
        <v>50</v>
      </c>
      <c r="B499" s="2" t="n">
        <v>2</v>
      </c>
      <c r="C499" s="2" t="n">
        <v>61</v>
      </c>
      <c r="D499" s="2" t="n">
        <v>1</v>
      </c>
      <c r="E499" s="2" t="n">
        <v>810</v>
      </c>
      <c r="F499" s="2" t="n">
        <v>120</v>
      </c>
      <c r="G499" s="2" t="s">
        <v>37</v>
      </c>
      <c r="H499" s="6" t="str">
        <f aca="false">A499&amp;"_"&amp;B499</f>
        <v>jureia_2</v>
      </c>
      <c r="I499" s="6" t="str">
        <f aca="false">H499&amp;"_"&amp;C499&amp;"_"&amp;G499</f>
        <v>jureia_2_61_Tabebuia cassinoides</v>
      </c>
      <c r="J499" s="6" t="n">
        <f aca="false">IF(COUNTIF($I$2:I499,I499)=1,1,0)</f>
        <v>1</v>
      </c>
      <c r="K499" s="6" t="n">
        <f aca="false">E499*$Q$2</f>
        <v>81</v>
      </c>
      <c r="L499" s="7" t="n">
        <f aca="false">K499/PI()</f>
        <v>25.783100780887</v>
      </c>
      <c r="M499" s="8" t="n">
        <f aca="false">PI()*L499^2/40000</f>
        <v>0.0522107790812963</v>
      </c>
      <c r="N499" s="7" t="n">
        <f aca="false">F499*$Q$3</f>
        <v>12</v>
      </c>
      <c r="O499" s="3"/>
      <c r="P499" s="3"/>
      <c r="Q499" s="3"/>
    </row>
    <row r="500" customFormat="false" ht="15" hidden="false" customHeight="false" outlineLevel="0" collapsed="false">
      <c r="A500" s="2" t="s">
        <v>50</v>
      </c>
      <c r="B500" s="2" t="n">
        <v>2</v>
      </c>
      <c r="C500" s="2" t="n">
        <v>61</v>
      </c>
      <c r="D500" s="2" t="n">
        <v>2</v>
      </c>
      <c r="E500" s="2" t="n">
        <v>580</v>
      </c>
      <c r="F500" s="2" t="n">
        <v>120</v>
      </c>
      <c r="G500" s="2" t="s">
        <v>37</v>
      </c>
      <c r="H500" s="6" t="str">
        <f aca="false">A500&amp;"_"&amp;B500</f>
        <v>jureia_2</v>
      </c>
      <c r="I500" s="6" t="str">
        <f aca="false">H500&amp;"_"&amp;C500&amp;"_"&amp;G500</f>
        <v>jureia_2_61_Tabebuia cassinoides</v>
      </c>
      <c r="J500" s="6" t="n">
        <f aca="false">IF(COUNTIF($I$2:I500,I500)=1,1,0)</f>
        <v>0</v>
      </c>
      <c r="K500" s="6" t="n">
        <f aca="false">E500*$Q$2</f>
        <v>58</v>
      </c>
      <c r="L500" s="7" t="n">
        <f aca="false">K500/PI()</f>
        <v>18.4619733986599</v>
      </c>
      <c r="M500" s="8" t="n">
        <f aca="false">PI()*L500^2/40000</f>
        <v>0.0267698614280568</v>
      </c>
      <c r="N500" s="7" t="n">
        <f aca="false">F500*$Q$3</f>
        <v>12</v>
      </c>
      <c r="O500" s="3"/>
      <c r="P500" s="3"/>
      <c r="Q500" s="3"/>
    </row>
    <row r="501" customFormat="false" ht="15" hidden="false" customHeight="false" outlineLevel="0" collapsed="false">
      <c r="A501" s="2" t="s">
        <v>50</v>
      </c>
      <c r="B501" s="2" t="n">
        <v>2</v>
      </c>
      <c r="C501" s="2" t="n">
        <v>62</v>
      </c>
      <c r="D501" s="2" t="n">
        <v>1</v>
      </c>
      <c r="E501" s="2" t="n">
        <v>280</v>
      </c>
      <c r="F501" s="2" t="n">
        <v>140</v>
      </c>
      <c r="G501" s="2" t="s">
        <v>52</v>
      </c>
      <c r="H501" s="6" t="str">
        <f aca="false">A501&amp;"_"&amp;B501</f>
        <v>jureia_2</v>
      </c>
      <c r="I501" s="6" t="str">
        <f aca="false">H501&amp;"_"&amp;C501&amp;"_"&amp;G501</f>
        <v>jureia_2_62_jussara</v>
      </c>
      <c r="J501" s="6" t="n">
        <f aca="false">IF(COUNTIF($I$2:I501,I501)=1,1,0)</f>
        <v>1</v>
      </c>
      <c r="K501" s="6" t="n">
        <f aca="false">E501*$Q$2</f>
        <v>28</v>
      </c>
      <c r="L501" s="7" t="n">
        <f aca="false">K501/PI()</f>
        <v>8.91267681314614</v>
      </c>
      <c r="M501" s="8" t="n">
        <f aca="false">PI()*L501^2/40000</f>
        <v>0.0062388737692023</v>
      </c>
      <c r="N501" s="7" t="n">
        <f aca="false">F501*$Q$3</f>
        <v>14</v>
      </c>
      <c r="O501" s="3"/>
      <c r="P501" s="3"/>
      <c r="Q501" s="3"/>
    </row>
    <row r="502" customFormat="false" ht="15" hidden="false" customHeight="false" outlineLevel="0" collapsed="false">
      <c r="A502" s="2" t="s">
        <v>50</v>
      </c>
      <c r="B502" s="2" t="n">
        <v>2</v>
      </c>
      <c r="C502" s="2" t="n">
        <v>63</v>
      </c>
      <c r="D502" s="2" t="n">
        <v>1</v>
      </c>
      <c r="E502" s="2" t="n">
        <v>270</v>
      </c>
      <c r="F502" s="2" t="n">
        <v>90</v>
      </c>
      <c r="G502" s="2" t="s">
        <v>52</v>
      </c>
      <c r="H502" s="6" t="str">
        <f aca="false">A502&amp;"_"&amp;B502</f>
        <v>jureia_2</v>
      </c>
      <c r="I502" s="6" t="str">
        <f aca="false">H502&amp;"_"&amp;C502&amp;"_"&amp;G502</f>
        <v>jureia_2_63_jussara</v>
      </c>
      <c r="J502" s="6" t="n">
        <f aca="false">IF(COUNTIF($I$2:I502,I502)=1,1,0)</f>
        <v>1</v>
      </c>
      <c r="K502" s="6" t="n">
        <f aca="false">E502*$Q$2</f>
        <v>27</v>
      </c>
      <c r="L502" s="7" t="n">
        <f aca="false">K502/PI()</f>
        <v>8.59436692696235</v>
      </c>
      <c r="M502" s="8" t="n">
        <f aca="false">PI()*L502^2/40000</f>
        <v>0.00580119767569958</v>
      </c>
      <c r="N502" s="7" t="n">
        <f aca="false">F502*$Q$3</f>
        <v>9</v>
      </c>
      <c r="O502" s="3"/>
      <c r="P502" s="3"/>
      <c r="Q502" s="3"/>
    </row>
    <row r="503" customFormat="false" ht="15" hidden="false" customHeight="false" outlineLevel="0" collapsed="false">
      <c r="A503" s="2" t="s">
        <v>50</v>
      </c>
      <c r="B503" s="2" t="n">
        <v>2</v>
      </c>
      <c r="C503" s="2" t="n">
        <v>64</v>
      </c>
      <c r="D503" s="2" t="n">
        <v>1</v>
      </c>
      <c r="E503" s="2" t="n">
        <v>280</v>
      </c>
      <c r="F503" s="2" t="n">
        <v>100</v>
      </c>
      <c r="G503" s="2" t="s">
        <v>52</v>
      </c>
      <c r="H503" s="6" t="str">
        <f aca="false">A503&amp;"_"&amp;B503</f>
        <v>jureia_2</v>
      </c>
      <c r="I503" s="6" t="str">
        <f aca="false">H503&amp;"_"&amp;C503&amp;"_"&amp;G503</f>
        <v>jureia_2_64_jussara</v>
      </c>
      <c r="J503" s="6" t="n">
        <f aca="false">IF(COUNTIF($I$2:I503,I503)=1,1,0)</f>
        <v>1</v>
      </c>
      <c r="K503" s="6" t="n">
        <f aca="false">E503*$Q$2</f>
        <v>28</v>
      </c>
      <c r="L503" s="7" t="n">
        <f aca="false">K503/PI()</f>
        <v>8.91267681314614</v>
      </c>
      <c r="M503" s="8" t="n">
        <f aca="false">PI()*L503^2/40000</f>
        <v>0.0062388737692023</v>
      </c>
      <c r="N503" s="7" t="n">
        <f aca="false">F503*$Q$3</f>
        <v>10</v>
      </c>
      <c r="O503" s="3"/>
      <c r="P503" s="3"/>
      <c r="Q503" s="3"/>
    </row>
    <row r="504" customFormat="false" ht="15" hidden="false" customHeight="false" outlineLevel="0" collapsed="false">
      <c r="A504" s="2" t="s">
        <v>50</v>
      </c>
      <c r="B504" s="2" t="n">
        <v>2</v>
      </c>
      <c r="C504" s="2" t="n">
        <v>65</v>
      </c>
      <c r="D504" s="2" t="n">
        <v>1</v>
      </c>
      <c r="E504" s="2" t="n">
        <v>230</v>
      </c>
      <c r="F504" s="2" t="n">
        <v>60</v>
      </c>
      <c r="G504" s="2" t="s">
        <v>61</v>
      </c>
      <c r="H504" s="6" t="str">
        <f aca="false">A504&amp;"_"&amp;B504</f>
        <v>jureia_2</v>
      </c>
      <c r="I504" s="6" t="str">
        <f aca="false">H504&amp;"_"&amp;C504&amp;"_"&amp;G504</f>
        <v>jureia_2_65_Andira fraxinifolia</v>
      </c>
      <c r="J504" s="6" t="n">
        <f aca="false">IF(COUNTIF($I$2:I504,I504)=1,1,0)</f>
        <v>1</v>
      </c>
      <c r="K504" s="6" t="n">
        <f aca="false">E504*$Q$2</f>
        <v>23</v>
      </c>
      <c r="L504" s="7" t="n">
        <f aca="false">K504/PI()</f>
        <v>7.32112738222719</v>
      </c>
      <c r="M504" s="8" t="n">
        <f aca="false">PI()*L504^2/40000</f>
        <v>0.00420964824478063</v>
      </c>
      <c r="N504" s="7" t="n">
        <f aca="false">F504*$Q$3</f>
        <v>6</v>
      </c>
      <c r="O504" s="3"/>
      <c r="P504" s="3"/>
      <c r="Q504" s="3"/>
    </row>
    <row r="505" customFormat="false" ht="15" hidden="false" customHeight="false" outlineLevel="0" collapsed="false">
      <c r="A505" s="2" t="s">
        <v>50</v>
      </c>
      <c r="B505" s="2" t="n">
        <v>2</v>
      </c>
      <c r="C505" s="2" t="n">
        <v>66</v>
      </c>
      <c r="D505" s="2" t="n">
        <v>1</v>
      </c>
      <c r="E505" s="2" t="n">
        <v>240</v>
      </c>
      <c r="F505" s="2" t="n">
        <v>90</v>
      </c>
      <c r="G505" s="2" t="s">
        <v>37</v>
      </c>
      <c r="H505" s="6" t="str">
        <f aca="false">A505&amp;"_"&amp;B505</f>
        <v>jureia_2</v>
      </c>
      <c r="I505" s="6" t="str">
        <f aca="false">H505&amp;"_"&amp;C505&amp;"_"&amp;G505</f>
        <v>jureia_2_66_Tabebuia cassinoides</v>
      </c>
      <c r="J505" s="6" t="n">
        <f aca="false">IF(COUNTIF($I$2:I505,I505)=1,1,0)</f>
        <v>1</v>
      </c>
      <c r="K505" s="6" t="n">
        <f aca="false">E505*$Q$2</f>
        <v>24</v>
      </c>
      <c r="L505" s="7" t="n">
        <f aca="false">K505/PI()</f>
        <v>7.63943726841098</v>
      </c>
      <c r="M505" s="8" t="n">
        <f aca="false">PI()*L505^2/40000</f>
        <v>0.00458366236104659</v>
      </c>
      <c r="N505" s="7" t="n">
        <f aca="false">F505*$Q$3</f>
        <v>9</v>
      </c>
      <c r="O505" s="3"/>
      <c r="P505" s="3"/>
      <c r="Q505" s="3"/>
    </row>
    <row r="506" customFormat="false" ht="15" hidden="false" customHeight="false" outlineLevel="0" collapsed="false">
      <c r="A506" s="2" t="s">
        <v>50</v>
      </c>
      <c r="B506" s="2" t="n">
        <v>2</v>
      </c>
      <c r="C506" s="2" t="n">
        <v>67</v>
      </c>
      <c r="D506" s="2" t="n">
        <v>1</v>
      </c>
      <c r="E506" s="2" t="n">
        <v>620</v>
      </c>
      <c r="F506" s="2" t="n">
        <v>180</v>
      </c>
      <c r="G506" s="2" t="s">
        <v>37</v>
      </c>
      <c r="H506" s="6" t="str">
        <f aca="false">A506&amp;"_"&amp;B506</f>
        <v>jureia_2</v>
      </c>
      <c r="I506" s="6" t="str">
        <f aca="false">H506&amp;"_"&amp;C506&amp;"_"&amp;G506</f>
        <v>jureia_2_67_Tabebuia cassinoides</v>
      </c>
      <c r="J506" s="6" t="n">
        <f aca="false">IF(COUNTIF($I$2:I506,I506)=1,1,0)</f>
        <v>1</v>
      </c>
      <c r="K506" s="6" t="n">
        <f aca="false">E506*$Q$2</f>
        <v>62</v>
      </c>
      <c r="L506" s="7" t="n">
        <f aca="false">K506/PI()</f>
        <v>19.735212943395</v>
      </c>
      <c r="M506" s="8" t="n">
        <f aca="false">PI()*L506^2/40000</f>
        <v>0.0305895800622623</v>
      </c>
      <c r="N506" s="7" t="n">
        <f aca="false">F506*$Q$3</f>
        <v>18</v>
      </c>
      <c r="O506" s="3"/>
      <c r="P506" s="3"/>
      <c r="Q506" s="3"/>
    </row>
    <row r="507" customFormat="false" ht="15" hidden="false" customHeight="false" outlineLevel="0" collapsed="false">
      <c r="A507" s="2" t="s">
        <v>50</v>
      </c>
      <c r="B507" s="2" t="n">
        <v>2</v>
      </c>
      <c r="C507" s="2" t="n">
        <v>67</v>
      </c>
      <c r="D507" s="2" t="n">
        <v>2</v>
      </c>
      <c r="E507" s="2" t="n">
        <v>410</v>
      </c>
      <c r="F507" s="2" t="n">
        <v>180</v>
      </c>
      <c r="G507" s="2" t="s">
        <v>37</v>
      </c>
      <c r="H507" s="6" t="str">
        <f aca="false">A507&amp;"_"&amp;B507</f>
        <v>jureia_2</v>
      </c>
      <c r="I507" s="6" t="str">
        <f aca="false">H507&amp;"_"&amp;C507&amp;"_"&amp;G507</f>
        <v>jureia_2_67_Tabebuia cassinoides</v>
      </c>
      <c r="J507" s="6" t="n">
        <f aca="false">IF(COUNTIF($I$2:I507,I507)=1,1,0)</f>
        <v>0</v>
      </c>
      <c r="K507" s="6" t="n">
        <f aca="false">E507*$Q$2</f>
        <v>41</v>
      </c>
      <c r="L507" s="7" t="n">
        <f aca="false">K507/PI()</f>
        <v>13.0507053335354</v>
      </c>
      <c r="M507" s="8" t="n">
        <f aca="false">PI()*L507^2/40000</f>
        <v>0.0133769729668738</v>
      </c>
      <c r="N507" s="7" t="n">
        <f aca="false">F507*$Q$3</f>
        <v>18</v>
      </c>
      <c r="O507" s="3"/>
      <c r="P507" s="3"/>
      <c r="Q507" s="3"/>
    </row>
    <row r="508" customFormat="false" ht="15" hidden="false" customHeight="false" outlineLevel="0" collapsed="false">
      <c r="A508" s="2" t="s">
        <v>50</v>
      </c>
      <c r="B508" s="2" t="n">
        <v>2</v>
      </c>
      <c r="C508" s="2" t="n">
        <v>68</v>
      </c>
      <c r="D508" s="2" t="n">
        <v>1</v>
      </c>
      <c r="E508" s="2" t="n">
        <v>190</v>
      </c>
      <c r="F508" s="2" t="n">
        <v>110</v>
      </c>
      <c r="G508" s="2" t="s">
        <v>51</v>
      </c>
      <c r="H508" s="6" t="str">
        <f aca="false">A508&amp;"_"&amp;B508</f>
        <v>jureia_2</v>
      </c>
      <c r="I508" s="6" t="str">
        <f aca="false">H508&amp;"_"&amp;C508&amp;"_"&amp;G508</f>
        <v>jureia_2_68_Cabralea canjerana</v>
      </c>
      <c r="J508" s="6" t="n">
        <f aca="false">IF(COUNTIF($I$2:I508,I508)=1,1,0)</f>
        <v>1</v>
      </c>
      <c r="K508" s="6" t="n">
        <f aca="false">E508*$Q$2</f>
        <v>19</v>
      </c>
      <c r="L508" s="7" t="n">
        <f aca="false">K508/PI()</f>
        <v>6.04788783749202</v>
      </c>
      <c r="M508" s="8" t="n">
        <f aca="false">PI()*L508^2/40000</f>
        <v>0.00287274672280871</v>
      </c>
      <c r="N508" s="7" t="n">
        <f aca="false">F508*$Q$3</f>
        <v>11</v>
      </c>
      <c r="O508" s="3"/>
      <c r="P508" s="3"/>
      <c r="Q508" s="3"/>
    </row>
    <row r="509" customFormat="false" ht="15" hidden="false" customHeight="false" outlineLevel="0" collapsed="false">
      <c r="A509" s="2" t="s">
        <v>50</v>
      </c>
      <c r="B509" s="2" t="n">
        <v>2</v>
      </c>
      <c r="C509" s="2" t="n">
        <v>69</v>
      </c>
      <c r="D509" s="2" t="n">
        <v>1</v>
      </c>
      <c r="E509" s="2" t="n">
        <v>380</v>
      </c>
      <c r="F509" s="2" t="n">
        <v>100</v>
      </c>
      <c r="G509" s="2" t="s">
        <v>37</v>
      </c>
      <c r="H509" s="6" t="str">
        <f aca="false">A509&amp;"_"&amp;B509</f>
        <v>jureia_2</v>
      </c>
      <c r="I509" s="6" t="str">
        <f aca="false">H509&amp;"_"&amp;C509&amp;"_"&amp;G509</f>
        <v>jureia_2_69_Tabebuia cassinoides</v>
      </c>
      <c r="J509" s="6" t="n">
        <f aca="false">IF(COUNTIF($I$2:I509,I509)=1,1,0)</f>
        <v>1</v>
      </c>
      <c r="K509" s="6" t="n">
        <f aca="false">E509*$Q$2</f>
        <v>38</v>
      </c>
      <c r="L509" s="7" t="n">
        <f aca="false">K509/PI()</f>
        <v>12.095775674984</v>
      </c>
      <c r="M509" s="8" t="n">
        <f aca="false">PI()*L509^2/40000</f>
        <v>0.0114909868912348</v>
      </c>
      <c r="N509" s="7" t="n">
        <f aca="false">F509*$Q$3</f>
        <v>10</v>
      </c>
      <c r="O509" s="3"/>
      <c r="P509" s="3"/>
      <c r="Q509" s="3"/>
    </row>
    <row r="510" customFormat="false" ht="15" hidden="false" customHeight="false" outlineLevel="0" collapsed="false">
      <c r="A510" s="2" t="s">
        <v>50</v>
      </c>
      <c r="B510" s="2" t="n">
        <v>2</v>
      </c>
      <c r="C510" s="2" t="n">
        <v>69</v>
      </c>
      <c r="D510" s="2" t="n">
        <v>2</v>
      </c>
      <c r="E510" s="2" t="n">
        <v>170</v>
      </c>
      <c r="F510" s="2" t="n">
        <v>100</v>
      </c>
      <c r="G510" s="2" t="s">
        <v>37</v>
      </c>
      <c r="H510" s="6" t="str">
        <f aca="false">A510&amp;"_"&amp;B510</f>
        <v>jureia_2</v>
      </c>
      <c r="I510" s="6" t="str">
        <f aca="false">H510&amp;"_"&amp;C510&amp;"_"&amp;G510</f>
        <v>jureia_2_69_Tabebuia cassinoides</v>
      </c>
      <c r="J510" s="6" t="n">
        <f aca="false">IF(COUNTIF($I$2:I510,I510)=1,1,0)</f>
        <v>0</v>
      </c>
      <c r="K510" s="6" t="n">
        <f aca="false">E510*$Q$2</f>
        <v>17</v>
      </c>
      <c r="L510" s="7" t="n">
        <f aca="false">K510/PI()</f>
        <v>5.41126806512444</v>
      </c>
      <c r="M510" s="8" t="n">
        <f aca="false">PI()*L510^2/40000</f>
        <v>0.00229978892767789</v>
      </c>
      <c r="N510" s="7" t="n">
        <f aca="false">F510*$Q$3</f>
        <v>10</v>
      </c>
      <c r="O510" s="3"/>
      <c r="P510" s="3"/>
      <c r="Q510" s="3"/>
    </row>
    <row r="511" customFormat="false" ht="15" hidden="false" customHeight="false" outlineLevel="0" collapsed="false">
      <c r="A511" s="2" t="s">
        <v>50</v>
      </c>
      <c r="B511" s="2" t="n">
        <v>2</v>
      </c>
      <c r="C511" s="2" t="n">
        <v>69</v>
      </c>
      <c r="D511" s="2" t="n">
        <v>3</v>
      </c>
      <c r="E511" s="2" t="n">
        <v>250</v>
      </c>
      <c r="F511" s="2" t="n">
        <v>100</v>
      </c>
      <c r="G511" s="2" t="s">
        <v>37</v>
      </c>
      <c r="H511" s="6" t="str">
        <f aca="false">A511&amp;"_"&amp;B511</f>
        <v>jureia_2</v>
      </c>
      <c r="I511" s="6" t="str">
        <f aca="false">H511&amp;"_"&amp;C511&amp;"_"&amp;G511</f>
        <v>jureia_2_69_Tabebuia cassinoides</v>
      </c>
      <c r="J511" s="6" t="n">
        <f aca="false">IF(COUNTIF($I$2:I511,I511)=1,1,0)</f>
        <v>0</v>
      </c>
      <c r="K511" s="6" t="n">
        <f aca="false">E511*$Q$2</f>
        <v>25</v>
      </c>
      <c r="L511" s="7" t="n">
        <f aca="false">K511/PI()</f>
        <v>7.95774715459477</v>
      </c>
      <c r="M511" s="8" t="n">
        <f aca="false">PI()*L511^2/40000</f>
        <v>0.00497359197162173</v>
      </c>
      <c r="N511" s="7" t="n">
        <f aca="false">F511*$Q$3</f>
        <v>10</v>
      </c>
      <c r="O511" s="3"/>
      <c r="P511" s="3"/>
      <c r="Q511" s="3"/>
    </row>
    <row r="512" customFormat="false" ht="15" hidden="false" customHeight="false" outlineLevel="0" collapsed="false">
      <c r="A512" s="2" t="s">
        <v>50</v>
      </c>
      <c r="B512" s="2" t="n">
        <v>2</v>
      </c>
      <c r="C512" s="2" t="n">
        <v>70</v>
      </c>
      <c r="D512" s="2" t="n">
        <v>1</v>
      </c>
      <c r="E512" s="2" t="n">
        <v>450</v>
      </c>
      <c r="F512" s="2" t="n">
        <v>120</v>
      </c>
      <c r="G512" s="2" t="s">
        <v>37</v>
      </c>
      <c r="H512" s="6" t="str">
        <f aca="false">A512&amp;"_"&amp;B512</f>
        <v>jureia_2</v>
      </c>
      <c r="I512" s="6" t="str">
        <f aca="false">H512&amp;"_"&amp;C512&amp;"_"&amp;G512</f>
        <v>jureia_2_70_Tabebuia cassinoides</v>
      </c>
      <c r="J512" s="6" t="n">
        <f aca="false">IF(COUNTIF($I$2:I512,I512)=1,1,0)</f>
        <v>1</v>
      </c>
      <c r="K512" s="6" t="n">
        <f aca="false">E512*$Q$2</f>
        <v>45</v>
      </c>
      <c r="L512" s="7" t="n">
        <f aca="false">K512/PI()</f>
        <v>14.3239448782706</v>
      </c>
      <c r="M512" s="8" t="n">
        <f aca="false">PI()*L512^2/40000</f>
        <v>0.0161144379880544</v>
      </c>
      <c r="N512" s="7" t="n">
        <f aca="false">F512*$Q$3</f>
        <v>12</v>
      </c>
      <c r="O512" s="3"/>
      <c r="P512" s="3"/>
      <c r="Q512" s="3"/>
    </row>
    <row r="513" customFormat="false" ht="15" hidden="false" customHeight="false" outlineLevel="0" collapsed="false">
      <c r="A513" s="2" t="s">
        <v>50</v>
      </c>
      <c r="B513" s="2" t="n">
        <v>2</v>
      </c>
      <c r="C513" s="2" t="n">
        <v>71</v>
      </c>
      <c r="D513" s="2" t="n">
        <v>1</v>
      </c>
      <c r="E513" s="2" t="n">
        <v>510</v>
      </c>
      <c r="F513" s="2" t="n">
        <v>120</v>
      </c>
      <c r="G513" s="2" t="s">
        <v>37</v>
      </c>
      <c r="H513" s="6" t="str">
        <f aca="false">A513&amp;"_"&amp;B513</f>
        <v>jureia_2</v>
      </c>
      <c r="I513" s="6" t="str">
        <f aca="false">H513&amp;"_"&amp;C513&amp;"_"&amp;G513</f>
        <v>jureia_2_71_Tabebuia cassinoides</v>
      </c>
      <c r="J513" s="6" t="n">
        <f aca="false">IF(COUNTIF($I$2:I513,I513)=1,1,0)</f>
        <v>1</v>
      </c>
      <c r="K513" s="6" t="n">
        <f aca="false">E513*$Q$2</f>
        <v>51</v>
      </c>
      <c r="L513" s="7" t="n">
        <f aca="false">K513/PI()</f>
        <v>16.2338041953733</v>
      </c>
      <c r="M513" s="8" t="n">
        <f aca="false">PI()*L513^2/40000</f>
        <v>0.020698100349101</v>
      </c>
      <c r="N513" s="7" t="n">
        <f aca="false">F513*$Q$3</f>
        <v>12</v>
      </c>
      <c r="O513" s="3"/>
      <c r="P513" s="3"/>
      <c r="Q513" s="3"/>
    </row>
    <row r="514" customFormat="false" ht="15" hidden="false" customHeight="false" outlineLevel="0" collapsed="false">
      <c r="A514" s="2" t="s">
        <v>50</v>
      </c>
      <c r="B514" s="2" t="n">
        <v>2</v>
      </c>
      <c r="C514" s="2" t="n">
        <v>72</v>
      </c>
      <c r="D514" s="2" t="n">
        <v>1</v>
      </c>
      <c r="E514" s="2" t="n">
        <v>290</v>
      </c>
      <c r="F514" s="2" t="n">
        <v>110</v>
      </c>
      <c r="G514" s="2" t="s">
        <v>56</v>
      </c>
      <c r="H514" s="6" t="str">
        <f aca="false">A514&amp;"_"&amp;B514</f>
        <v>jureia_2</v>
      </c>
      <c r="I514" s="6" t="str">
        <f aca="false">H514&amp;"_"&amp;C514&amp;"_"&amp;G514</f>
        <v>jureia_2_72_Persea sp</v>
      </c>
      <c r="J514" s="6" t="n">
        <f aca="false">IF(COUNTIF($I$2:I514,I514)=1,1,0)</f>
        <v>1</v>
      </c>
      <c r="K514" s="6" t="n">
        <f aca="false">E514*$Q$2</f>
        <v>29</v>
      </c>
      <c r="L514" s="7" t="n">
        <f aca="false">K514/PI()</f>
        <v>9.23098669932993</v>
      </c>
      <c r="M514" s="8" t="n">
        <f aca="false">PI()*L514^2/40000</f>
        <v>0.0066924653570142</v>
      </c>
      <c r="N514" s="7" t="n">
        <f aca="false">F514*$Q$3</f>
        <v>11</v>
      </c>
      <c r="O514" s="3"/>
      <c r="P514" s="3"/>
      <c r="Q514" s="3"/>
    </row>
    <row r="515" customFormat="false" ht="15" hidden="false" customHeight="false" outlineLevel="0" collapsed="false">
      <c r="A515" s="2" t="s">
        <v>50</v>
      </c>
      <c r="B515" s="2" t="n">
        <v>3</v>
      </c>
      <c r="C515" s="2" t="n">
        <v>73</v>
      </c>
      <c r="D515" s="2" t="n">
        <v>1</v>
      </c>
      <c r="E515" s="2" t="n">
        <v>430</v>
      </c>
      <c r="F515" s="2" t="n">
        <v>100</v>
      </c>
      <c r="G515" s="2" t="s">
        <v>37</v>
      </c>
      <c r="H515" s="6" t="str">
        <f aca="false">A515&amp;"_"&amp;B515</f>
        <v>jureia_3</v>
      </c>
      <c r="I515" s="6" t="str">
        <f aca="false">H515&amp;"_"&amp;C515&amp;"_"&amp;G515</f>
        <v>jureia_3_73_Tabebuia cassinoides</v>
      </c>
      <c r="J515" s="6" t="n">
        <f aca="false">IF(COUNTIF($I$2:I515,I515)=1,1,0)</f>
        <v>1</v>
      </c>
      <c r="K515" s="6" t="n">
        <f aca="false">E515*$Q$2</f>
        <v>43</v>
      </c>
      <c r="L515" s="7" t="n">
        <f aca="false">K515/PI()</f>
        <v>13.687325105903</v>
      </c>
      <c r="M515" s="8" t="n">
        <f aca="false">PI()*L515^2/40000</f>
        <v>0.0147138744888457</v>
      </c>
      <c r="N515" s="7" t="n">
        <f aca="false">F515*$Q$3</f>
        <v>10</v>
      </c>
      <c r="O515" s="3"/>
      <c r="P515" s="3"/>
      <c r="Q515" s="3"/>
    </row>
    <row r="516" customFormat="false" ht="15" hidden="false" customHeight="false" outlineLevel="0" collapsed="false">
      <c r="A516" s="2" t="s">
        <v>50</v>
      </c>
      <c r="B516" s="2" t="n">
        <v>3</v>
      </c>
      <c r="C516" s="2" t="n">
        <v>74</v>
      </c>
      <c r="D516" s="2" t="n">
        <v>1</v>
      </c>
      <c r="E516" s="2" t="n">
        <v>550</v>
      </c>
      <c r="F516" s="2" t="n">
        <v>120</v>
      </c>
      <c r="G516" s="2" t="s">
        <v>37</v>
      </c>
      <c r="H516" s="6" t="str">
        <f aca="false">A516&amp;"_"&amp;B516</f>
        <v>jureia_3</v>
      </c>
      <c r="I516" s="6" t="str">
        <f aca="false">H516&amp;"_"&amp;C516&amp;"_"&amp;G516</f>
        <v>jureia_3_74_Tabebuia cassinoides</v>
      </c>
      <c r="J516" s="6" t="n">
        <f aca="false">IF(COUNTIF($I$2:I516,I516)=1,1,0)</f>
        <v>1</v>
      </c>
      <c r="K516" s="6" t="n">
        <f aca="false">E516*$Q$2</f>
        <v>55</v>
      </c>
      <c r="L516" s="7" t="n">
        <f aca="false">K516/PI()</f>
        <v>17.5070437401085</v>
      </c>
      <c r="M516" s="8" t="n">
        <f aca="false">PI()*L516^2/40000</f>
        <v>0.0240721851426492</v>
      </c>
      <c r="N516" s="7" t="n">
        <f aca="false">F516*$Q$3</f>
        <v>12</v>
      </c>
      <c r="O516" s="3"/>
      <c r="P516" s="3"/>
      <c r="Q516" s="3"/>
    </row>
    <row r="517" customFormat="false" ht="15" hidden="false" customHeight="false" outlineLevel="0" collapsed="false">
      <c r="A517" s="2" t="s">
        <v>50</v>
      </c>
      <c r="B517" s="2" t="n">
        <v>3</v>
      </c>
      <c r="C517" s="2" t="n">
        <v>75</v>
      </c>
      <c r="D517" s="2" t="n">
        <v>1</v>
      </c>
      <c r="E517" s="2" t="n">
        <v>560</v>
      </c>
      <c r="F517" s="2" t="n">
        <v>110</v>
      </c>
      <c r="G517" s="2" t="s">
        <v>37</v>
      </c>
      <c r="H517" s="6" t="str">
        <f aca="false">A517&amp;"_"&amp;B517</f>
        <v>jureia_3</v>
      </c>
      <c r="I517" s="6" t="str">
        <f aca="false">H517&amp;"_"&amp;C517&amp;"_"&amp;G517</f>
        <v>jureia_3_75_Tabebuia cassinoides</v>
      </c>
      <c r="J517" s="6" t="n">
        <f aca="false">IF(COUNTIF($I$2:I517,I517)=1,1,0)</f>
        <v>1</v>
      </c>
      <c r="K517" s="6" t="n">
        <f aca="false">E517*$Q$2</f>
        <v>56</v>
      </c>
      <c r="L517" s="7" t="n">
        <f aca="false">K517/PI()</f>
        <v>17.8253536262923</v>
      </c>
      <c r="M517" s="8" t="n">
        <f aca="false">PI()*L517^2/40000</f>
        <v>0.0249554950768092</v>
      </c>
      <c r="N517" s="7" t="n">
        <f aca="false">F517*$Q$3</f>
        <v>11</v>
      </c>
      <c r="O517" s="3"/>
      <c r="P517" s="3"/>
      <c r="Q517" s="3"/>
    </row>
    <row r="518" customFormat="false" ht="15" hidden="false" customHeight="false" outlineLevel="0" collapsed="false">
      <c r="A518" s="2" t="s">
        <v>50</v>
      </c>
      <c r="B518" s="2" t="n">
        <v>3</v>
      </c>
      <c r="C518" s="2" t="n">
        <v>76</v>
      </c>
      <c r="D518" s="2" t="n">
        <v>1</v>
      </c>
      <c r="E518" s="2" t="n">
        <v>460</v>
      </c>
      <c r="F518" s="2" t="n">
        <v>140</v>
      </c>
      <c r="G518" s="2" t="s">
        <v>62</v>
      </c>
      <c r="H518" s="6" t="str">
        <f aca="false">A518&amp;"_"&amp;B518</f>
        <v>jureia_3</v>
      </c>
      <c r="I518" s="6" t="str">
        <f aca="false">H518&amp;"_"&amp;C518&amp;"_"&amp;G518</f>
        <v>jureia_3_76_Cryptocaria moschata</v>
      </c>
      <c r="J518" s="6" t="n">
        <f aca="false">IF(COUNTIF($I$2:I518,I518)=1,1,0)</f>
        <v>1</v>
      </c>
      <c r="K518" s="6" t="n">
        <f aca="false">E518*$Q$2</f>
        <v>46</v>
      </c>
      <c r="L518" s="7" t="n">
        <f aca="false">K518/PI()</f>
        <v>14.6422547644544</v>
      </c>
      <c r="M518" s="8" t="n">
        <f aca="false">PI()*L518^2/40000</f>
        <v>0.0168385929791225</v>
      </c>
      <c r="N518" s="7" t="n">
        <f aca="false">F518*$Q$3</f>
        <v>14</v>
      </c>
      <c r="O518" s="3"/>
      <c r="P518" s="3"/>
      <c r="Q518" s="3"/>
    </row>
    <row r="519" customFormat="false" ht="15" hidden="false" customHeight="false" outlineLevel="0" collapsed="false">
      <c r="A519" s="2" t="s">
        <v>50</v>
      </c>
      <c r="B519" s="2" t="n">
        <v>3</v>
      </c>
      <c r="C519" s="2" t="n">
        <v>76</v>
      </c>
      <c r="D519" s="2" t="n">
        <v>2</v>
      </c>
      <c r="E519" s="2" t="n">
        <v>440</v>
      </c>
      <c r="F519" s="2" t="n">
        <v>140</v>
      </c>
      <c r="G519" s="2" t="s">
        <v>62</v>
      </c>
      <c r="H519" s="6" t="str">
        <f aca="false">A519&amp;"_"&amp;B519</f>
        <v>jureia_3</v>
      </c>
      <c r="I519" s="6" t="str">
        <f aca="false">H519&amp;"_"&amp;C519&amp;"_"&amp;G519</f>
        <v>jureia_3_76_Cryptocaria moschata</v>
      </c>
      <c r="J519" s="6" t="n">
        <f aca="false">IF(COUNTIF($I$2:I519,I519)=1,1,0)</f>
        <v>0</v>
      </c>
      <c r="K519" s="6" t="n">
        <f aca="false">E519*$Q$2</f>
        <v>44</v>
      </c>
      <c r="L519" s="7" t="n">
        <f aca="false">K519/PI()</f>
        <v>14.0056349920868</v>
      </c>
      <c r="M519" s="8" t="n">
        <f aca="false">PI()*L519^2/40000</f>
        <v>0.0154061984912955</v>
      </c>
      <c r="N519" s="7" t="n">
        <f aca="false">F519*$Q$3</f>
        <v>14</v>
      </c>
      <c r="O519" s="3"/>
      <c r="P519" s="3"/>
      <c r="Q519" s="3"/>
    </row>
    <row r="520" customFormat="false" ht="15" hidden="false" customHeight="false" outlineLevel="0" collapsed="false">
      <c r="A520" s="2" t="s">
        <v>50</v>
      </c>
      <c r="B520" s="2" t="n">
        <v>3</v>
      </c>
      <c r="C520" s="2" t="n">
        <v>77</v>
      </c>
      <c r="D520" s="2" t="n">
        <v>1</v>
      </c>
      <c r="E520" s="2" t="n">
        <v>850</v>
      </c>
      <c r="F520" s="2" t="n">
        <v>130</v>
      </c>
      <c r="G520" s="2" t="s">
        <v>37</v>
      </c>
      <c r="H520" s="6" t="str">
        <f aca="false">A520&amp;"_"&amp;B520</f>
        <v>jureia_3</v>
      </c>
      <c r="I520" s="6" t="str">
        <f aca="false">H520&amp;"_"&amp;C520&amp;"_"&amp;G520</f>
        <v>jureia_3_77_Tabebuia cassinoides</v>
      </c>
      <c r="J520" s="6" t="n">
        <f aca="false">IF(COUNTIF($I$2:I520,I520)=1,1,0)</f>
        <v>1</v>
      </c>
      <c r="K520" s="6" t="n">
        <f aca="false">E520*$Q$2</f>
        <v>85</v>
      </c>
      <c r="L520" s="7" t="n">
        <f aca="false">K520/PI()</f>
        <v>27.0563403256222</v>
      </c>
      <c r="M520" s="8" t="n">
        <f aca="false">PI()*L520^2/40000</f>
        <v>0.0574947231919472</v>
      </c>
      <c r="N520" s="7" t="n">
        <f aca="false">F520*$Q$3</f>
        <v>13</v>
      </c>
      <c r="O520" s="3"/>
      <c r="P520" s="3"/>
      <c r="Q520" s="3"/>
    </row>
    <row r="521" customFormat="false" ht="15" hidden="false" customHeight="false" outlineLevel="0" collapsed="false">
      <c r="A521" s="2" t="s">
        <v>50</v>
      </c>
      <c r="B521" s="2" t="n">
        <v>3</v>
      </c>
      <c r="C521" s="2" t="n">
        <v>77</v>
      </c>
      <c r="D521" s="2" t="n">
        <v>2</v>
      </c>
      <c r="E521" s="2" t="n">
        <v>250</v>
      </c>
      <c r="F521" s="2" t="n">
        <v>130</v>
      </c>
      <c r="G521" s="2" t="s">
        <v>37</v>
      </c>
      <c r="H521" s="6" t="str">
        <f aca="false">A521&amp;"_"&amp;B521</f>
        <v>jureia_3</v>
      </c>
      <c r="I521" s="6" t="str">
        <f aca="false">H521&amp;"_"&amp;C521&amp;"_"&amp;G521</f>
        <v>jureia_3_77_Tabebuia cassinoides</v>
      </c>
      <c r="J521" s="6" t="n">
        <f aca="false">IF(COUNTIF($I$2:I521,I521)=1,1,0)</f>
        <v>0</v>
      </c>
      <c r="K521" s="6" t="n">
        <f aca="false">E521*$Q$2</f>
        <v>25</v>
      </c>
      <c r="L521" s="7" t="n">
        <f aca="false">K521/PI()</f>
        <v>7.95774715459477</v>
      </c>
      <c r="M521" s="8" t="n">
        <f aca="false">PI()*L521^2/40000</f>
        <v>0.00497359197162173</v>
      </c>
      <c r="N521" s="7" t="n">
        <f aca="false">F521*$Q$3</f>
        <v>13</v>
      </c>
      <c r="O521" s="3"/>
      <c r="P521" s="3"/>
      <c r="Q521" s="3"/>
    </row>
    <row r="522" customFormat="false" ht="15" hidden="false" customHeight="false" outlineLevel="0" collapsed="false">
      <c r="A522" s="2" t="s">
        <v>50</v>
      </c>
      <c r="B522" s="2" t="n">
        <v>3</v>
      </c>
      <c r="C522" s="2" t="n">
        <v>78</v>
      </c>
      <c r="D522" s="2" t="n">
        <v>1</v>
      </c>
      <c r="E522" s="2" t="n">
        <v>670</v>
      </c>
      <c r="F522" s="2" t="n">
        <v>130</v>
      </c>
      <c r="G522" s="2" t="s">
        <v>37</v>
      </c>
      <c r="H522" s="6" t="str">
        <f aca="false">A522&amp;"_"&amp;B522</f>
        <v>jureia_3</v>
      </c>
      <c r="I522" s="6" t="str">
        <f aca="false">H522&amp;"_"&amp;C522&amp;"_"&amp;G522</f>
        <v>jureia_3_78_Tabebuia cassinoides</v>
      </c>
      <c r="J522" s="6" t="n">
        <f aca="false">IF(COUNTIF($I$2:I522,I522)=1,1,0)</f>
        <v>1</v>
      </c>
      <c r="K522" s="6" t="n">
        <f aca="false">E522*$Q$2</f>
        <v>67</v>
      </c>
      <c r="L522" s="7" t="n">
        <f aca="false">K522/PI()</f>
        <v>21.326762374314</v>
      </c>
      <c r="M522" s="8" t="n">
        <f aca="false">PI()*L522^2/40000</f>
        <v>0.0357223269769759</v>
      </c>
      <c r="N522" s="7" t="n">
        <f aca="false">F522*$Q$3</f>
        <v>13</v>
      </c>
      <c r="O522" s="3"/>
      <c r="P522" s="3"/>
      <c r="Q522" s="3"/>
    </row>
    <row r="523" customFormat="false" ht="15" hidden="false" customHeight="false" outlineLevel="0" collapsed="false">
      <c r="A523" s="2" t="s">
        <v>50</v>
      </c>
      <c r="B523" s="2" t="n">
        <v>3</v>
      </c>
      <c r="C523" s="2" t="n">
        <v>78</v>
      </c>
      <c r="D523" s="2" t="n">
        <v>2</v>
      </c>
      <c r="E523" s="2" t="n">
        <v>550</v>
      </c>
      <c r="F523" s="2" t="n">
        <v>130</v>
      </c>
      <c r="G523" s="2" t="s">
        <v>37</v>
      </c>
      <c r="H523" s="6" t="str">
        <f aca="false">A523&amp;"_"&amp;B523</f>
        <v>jureia_3</v>
      </c>
      <c r="I523" s="6" t="str">
        <f aca="false">H523&amp;"_"&amp;C523&amp;"_"&amp;G523</f>
        <v>jureia_3_78_Tabebuia cassinoides</v>
      </c>
      <c r="J523" s="6" t="n">
        <f aca="false">IF(COUNTIF($I$2:I523,I523)=1,1,0)</f>
        <v>0</v>
      </c>
      <c r="K523" s="6" t="n">
        <f aca="false">E523*$Q$2</f>
        <v>55</v>
      </c>
      <c r="L523" s="7" t="n">
        <f aca="false">K523/PI()</f>
        <v>17.5070437401085</v>
      </c>
      <c r="M523" s="8" t="n">
        <f aca="false">PI()*L523^2/40000</f>
        <v>0.0240721851426492</v>
      </c>
      <c r="N523" s="7" t="n">
        <f aca="false">F523*$Q$3</f>
        <v>13</v>
      </c>
      <c r="O523" s="3"/>
      <c r="P523" s="3"/>
      <c r="Q523" s="3"/>
    </row>
    <row r="524" customFormat="false" ht="15" hidden="false" customHeight="false" outlineLevel="0" collapsed="false">
      <c r="A524" s="2" t="s">
        <v>50</v>
      </c>
      <c r="B524" s="2" t="n">
        <v>3</v>
      </c>
      <c r="C524" s="2" t="n">
        <v>79</v>
      </c>
      <c r="D524" s="2" t="n">
        <v>1</v>
      </c>
      <c r="E524" s="2" t="n">
        <v>380</v>
      </c>
      <c r="F524" s="2" t="n">
        <v>100</v>
      </c>
      <c r="G524" s="2" t="s">
        <v>37</v>
      </c>
      <c r="H524" s="6" t="str">
        <f aca="false">A524&amp;"_"&amp;B524</f>
        <v>jureia_3</v>
      </c>
      <c r="I524" s="6" t="str">
        <f aca="false">H524&amp;"_"&amp;C524&amp;"_"&amp;G524</f>
        <v>jureia_3_79_Tabebuia cassinoides</v>
      </c>
      <c r="J524" s="6" t="n">
        <f aca="false">IF(COUNTIF($I$2:I524,I524)=1,1,0)</f>
        <v>1</v>
      </c>
      <c r="K524" s="6" t="n">
        <f aca="false">E524*$Q$2</f>
        <v>38</v>
      </c>
      <c r="L524" s="7" t="n">
        <f aca="false">K524/PI()</f>
        <v>12.095775674984</v>
      </c>
      <c r="M524" s="8" t="n">
        <f aca="false">PI()*L524^2/40000</f>
        <v>0.0114909868912348</v>
      </c>
      <c r="N524" s="7" t="n">
        <f aca="false">F524*$Q$3</f>
        <v>10</v>
      </c>
      <c r="O524" s="3"/>
      <c r="P524" s="3"/>
      <c r="Q524" s="3"/>
    </row>
    <row r="525" customFormat="false" ht="15" hidden="false" customHeight="false" outlineLevel="0" collapsed="false">
      <c r="A525" s="2" t="s">
        <v>50</v>
      </c>
      <c r="B525" s="2" t="n">
        <v>3</v>
      </c>
      <c r="C525" s="2" t="n">
        <v>80</v>
      </c>
      <c r="D525" s="2" t="n">
        <v>1</v>
      </c>
      <c r="E525" s="2" t="n">
        <v>580</v>
      </c>
      <c r="F525" s="2" t="n">
        <v>150</v>
      </c>
      <c r="G525" s="2" t="s">
        <v>37</v>
      </c>
      <c r="H525" s="6" t="str">
        <f aca="false">A525&amp;"_"&amp;B525</f>
        <v>jureia_3</v>
      </c>
      <c r="I525" s="6" t="str">
        <f aca="false">H525&amp;"_"&amp;C525&amp;"_"&amp;G525</f>
        <v>jureia_3_80_Tabebuia cassinoides</v>
      </c>
      <c r="J525" s="6" t="n">
        <f aca="false">IF(COUNTIF($I$2:I525,I525)=1,1,0)</f>
        <v>1</v>
      </c>
      <c r="K525" s="6" t="n">
        <f aca="false">E525*$Q$2</f>
        <v>58</v>
      </c>
      <c r="L525" s="7" t="n">
        <f aca="false">K525/PI()</f>
        <v>18.4619733986599</v>
      </c>
      <c r="M525" s="8" t="n">
        <f aca="false">PI()*L525^2/40000</f>
        <v>0.0267698614280568</v>
      </c>
      <c r="N525" s="7" t="n">
        <f aca="false">F525*$Q$3</f>
        <v>15</v>
      </c>
      <c r="O525" s="3"/>
      <c r="P525" s="3"/>
      <c r="Q525" s="3"/>
    </row>
    <row r="526" customFormat="false" ht="15" hidden="false" customHeight="false" outlineLevel="0" collapsed="false">
      <c r="A526" s="2" t="s">
        <v>50</v>
      </c>
      <c r="B526" s="2" t="n">
        <v>3</v>
      </c>
      <c r="C526" s="2" t="n">
        <v>80</v>
      </c>
      <c r="D526" s="2" t="n">
        <v>2</v>
      </c>
      <c r="E526" s="2" t="n">
        <v>610</v>
      </c>
      <c r="F526" s="2" t="n">
        <v>150</v>
      </c>
      <c r="G526" s="2" t="s">
        <v>37</v>
      </c>
      <c r="H526" s="6" t="str">
        <f aca="false">A526&amp;"_"&amp;B526</f>
        <v>jureia_3</v>
      </c>
      <c r="I526" s="6" t="str">
        <f aca="false">H526&amp;"_"&amp;C526&amp;"_"&amp;G526</f>
        <v>jureia_3_80_Tabebuia cassinoides</v>
      </c>
      <c r="J526" s="6" t="n">
        <f aca="false">IF(COUNTIF($I$2:I526,I526)=1,1,0)</f>
        <v>0</v>
      </c>
      <c r="K526" s="6" t="n">
        <f aca="false">E526*$Q$2</f>
        <v>61</v>
      </c>
      <c r="L526" s="7" t="n">
        <f aca="false">K526/PI()</f>
        <v>19.4169030572112</v>
      </c>
      <c r="M526" s="8" t="n">
        <f aca="false">PI()*L526^2/40000</f>
        <v>0.0296107771622471</v>
      </c>
      <c r="N526" s="7" t="n">
        <f aca="false">F526*$Q$3</f>
        <v>15</v>
      </c>
      <c r="O526" s="3"/>
      <c r="P526" s="3"/>
      <c r="Q526" s="3"/>
    </row>
    <row r="527" customFormat="false" ht="15" hidden="false" customHeight="false" outlineLevel="0" collapsed="false">
      <c r="A527" s="2" t="s">
        <v>50</v>
      </c>
      <c r="B527" s="2" t="n">
        <v>3</v>
      </c>
      <c r="C527" s="2" t="n">
        <v>80</v>
      </c>
      <c r="D527" s="2" t="n">
        <v>3</v>
      </c>
      <c r="E527" s="2" t="n">
        <v>550</v>
      </c>
      <c r="F527" s="2" t="n">
        <v>150</v>
      </c>
      <c r="G527" s="2" t="s">
        <v>37</v>
      </c>
      <c r="H527" s="6" t="str">
        <f aca="false">A527&amp;"_"&amp;B527</f>
        <v>jureia_3</v>
      </c>
      <c r="I527" s="6" t="str">
        <f aca="false">H527&amp;"_"&amp;C527&amp;"_"&amp;G527</f>
        <v>jureia_3_80_Tabebuia cassinoides</v>
      </c>
      <c r="J527" s="6" t="n">
        <f aca="false">IF(COUNTIF($I$2:I527,I527)=1,1,0)</f>
        <v>0</v>
      </c>
      <c r="K527" s="6" t="n">
        <f aca="false">E527*$Q$2</f>
        <v>55</v>
      </c>
      <c r="L527" s="7" t="n">
        <f aca="false">K527/PI()</f>
        <v>17.5070437401085</v>
      </c>
      <c r="M527" s="8" t="n">
        <f aca="false">PI()*L527^2/40000</f>
        <v>0.0240721851426492</v>
      </c>
      <c r="N527" s="7" t="n">
        <f aca="false">F527*$Q$3</f>
        <v>15</v>
      </c>
      <c r="O527" s="3"/>
      <c r="P527" s="3"/>
      <c r="Q527" s="3"/>
    </row>
    <row r="528" customFormat="false" ht="15" hidden="false" customHeight="false" outlineLevel="0" collapsed="false">
      <c r="A528" s="2" t="s">
        <v>50</v>
      </c>
      <c r="B528" s="2" t="n">
        <v>3</v>
      </c>
      <c r="C528" s="2" t="n">
        <v>80</v>
      </c>
      <c r="D528" s="2" t="n">
        <v>4</v>
      </c>
      <c r="E528" s="2" t="n">
        <v>600</v>
      </c>
      <c r="F528" s="2" t="n">
        <v>150</v>
      </c>
      <c r="G528" s="2" t="s">
        <v>37</v>
      </c>
      <c r="H528" s="6" t="str">
        <f aca="false">A528&amp;"_"&amp;B528</f>
        <v>jureia_3</v>
      </c>
      <c r="I528" s="6" t="str">
        <f aca="false">H528&amp;"_"&amp;C528&amp;"_"&amp;G528</f>
        <v>jureia_3_80_Tabebuia cassinoides</v>
      </c>
      <c r="J528" s="6" t="n">
        <f aca="false">IF(COUNTIF($I$2:I528,I528)=1,1,0)</f>
        <v>0</v>
      </c>
      <c r="K528" s="6" t="n">
        <f aca="false">E528*$Q$2</f>
        <v>60</v>
      </c>
      <c r="L528" s="7" t="n">
        <f aca="false">K528/PI()</f>
        <v>19.0985931710274</v>
      </c>
      <c r="M528" s="8" t="n">
        <f aca="false">PI()*L528^2/40000</f>
        <v>0.0286478897565412</v>
      </c>
      <c r="N528" s="7" t="n">
        <f aca="false">F528*$Q$3</f>
        <v>15</v>
      </c>
      <c r="O528" s="3"/>
      <c r="P528" s="3"/>
      <c r="Q528" s="3"/>
    </row>
    <row r="529" customFormat="false" ht="15" hidden="false" customHeight="false" outlineLevel="0" collapsed="false">
      <c r="A529" s="2" t="s">
        <v>50</v>
      </c>
      <c r="B529" s="2" t="n">
        <v>3</v>
      </c>
      <c r="C529" s="2" t="n">
        <v>81</v>
      </c>
      <c r="D529" s="2" t="n">
        <v>1</v>
      </c>
      <c r="E529" s="2" t="n">
        <v>220</v>
      </c>
      <c r="F529" s="2" t="n">
        <v>90</v>
      </c>
      <c r="G529" s="2" t="s">
        <v>48</v>
      </c>
      <c r="H529" s="6" t="str">
        <f aca="false">A529&amp;"_"&amp;B529</f>
        <v>jureia_3</v>
      </c>
      <c r="I529" s="6" t="str">
        <f aca="false">H529&amp;"_"&amp;C529&amp;"_"&amp;G529</f>
        <v>jureia_3_81_Calophyllum brasiliensis</v>
      </c>
      <c r="J529" s="6" t="n">
        <f aca="false">IF(COUNTIF($I$2:I529,I529)=1,1,0)</f>
        <v>1</v>
      </c>
      <c r="K529" s="6" t="n">
        <f aca="false">E529*$Q$2</f>
        <v>22</v>
      </c>
      <c r="L529" s="7" t="n">
        <f aca="false">K529/PI()</f>
        <v>7.0028174960434</v>
      </c>
      <c r="M529" s="8" t="n">
        <f aca="false">PI()*L529^2/40000</f>
        <v>0.00385154962282387</v>
      </c>
      <c r="N529" s="7" t="n">
        <f aca="false">F529*$Q$3</f>
        <v>9</v>
      </c>
      <c r="O529" s="3"/>
      <c r="P529" s="3"/>
      <c r="Q529" s="3"/>
    </row>
    <row r="530" customFormat="false" ht="15" hidden="false" customHeight="false" outlineLevel="0" collapsed="false">
      <c r="A530" s="2" t="s">
        <v>50</v>
      </c>
      <c r="B530" s="2" t="n">
        <v>3</v>
      </c>
      <c r="C530" s="2" t="n">
        <v>82</v>
      </c>
      <c r="D530" s="2" t="n">
        <v>1</v>
      </c>
      <c r="E530" s="2" t="n">
        <v>420</v>
      </c>
      <c r="F530" s="2" t="n">
        <v>110</v>
      </c>
      <c r="G530" s="2" t="s">
        <v>63</v>
      </c>
      <c r="H530" s="6" t="str">
        <f aca="false">A530&amp;"_"&amp;B530</f>
        <v>jureia_3</v>
      </c>
      <c r="I530" s="6" t="str">
        <f aca="false">H530&amp;"_"&amp;C530&amp;"_"&amp;G530</f>
        <v>jureia_3_82_Gomidesia sp</v>
      </c>
      <c r="J530" s="6" t="n">
        <f aca="false">IF(COUNTIF($I$2:I530,I530)=1,1,0)</f>
        <v>1</v>
      </c>
      <c r="K530" s="6" t="n">
        <f aca="false">E530*$Q$2</f>
        <v>42</v>
      </c>
      <c r="L530" s="7" t="n">
        <f aca="false">K530/PI()</f>
        <v>13.3690152197192</v>
      </c>
      <c r="M530" s="8" t="n">
        <f aca="false">PI()*L530^2/40000</f>
        <v>0.0140374659807052</v>
      </c>
      <c r="N530" s="7" t="n">
        <f aca="false">F530*$Q$3</f>
        <v>11</v>
      </c>
      <c r="O530" s="3"/>
      <c r="P530" s="3"/>
      <c r="Q530" s="3"/>
    </row>
    <row r="531" customFormat="false" ht="15" hidden="false" customHeight="false" outlineLevel="0" collapsed="false">
      <c r="A531" s="2" t="s">
        <v>50</v>
      </c>
      <c r="B531" s="2" t="n">
        <v>3</v>
      </c>
      <c r="C531" s="2" t="n">
        <v>83</v>
      </c>
      <c r="D531" s="2" t="n">
        <v>1</v>
      </c>
      <c r="E531" s="2" t="n">
        <v>210</v>
      </c>
      <c r="F531" s="2" t="n">
        <v>80</v>
      </c>
      <c r="G531" s="2" t="s">
        <v>48</v>
      </c>
      <c r="H531" s="6" t="str">
        <f aca="false">A531&amp;"_"&amp;B531</f>
        <v>jureia_3</v>
      </c>
      <c r="I531" s="6" t="str">
        <f aca="false">H531&amp;"_"&amp;C531&amp;"_"&amp;G531</f>
        <v>jureia_3_83_Calophyllum brasiliensis</v>
      </c>
      <c r="J531" s="6" t="n">
        <f aca="false">IF(COUNTIF($I$2:I531,I531)=1,1,0)</f>
        <v>1</v>
      </c>
      <c r="K531" s="6" t="n">
        <f aca="false">E531*$Q$2</f>
        <v>21</v>
      </c>
      <c r="L531" s="7" t="n">
        <f aca="false">K531/PI()</f>
        <v>6.68450760985961</v>
      </c>
      <c r="M531" s="8" t="n">
        <f aca="false">PI()*L531^2/40000</f>
        <v>0.00350936649517629</v>
      </c>
      <c r="N531" s="7" t="n">
        <f aca="false">F531*$Q$3</f>
        <v>8</v>
      </c>
      <c r="O531" s="3"/>
      <c r="P531" s="3"/>
      <c r="Q531" s="3"/>
    </row>
    <row r="532" customFormat="false" ht="15" hidden="false" customHeight="false" outlineLevel="0" collapsed="false">
      <c r="A532" s="2" t="s">
        <v>50</v>
      </c>
      <c r="B532" s="2" t="n">
        <v>3</v>
      </c>
      <c r="C532" s="2" t="n">
        <v>84</v>
      </c>
      <c r="D532" s="2" t="n">
        <v>1</v>
      </c>
      <c r="E532" s="2" t="n">
        <v>340</v>
      </c>
      <c r="F532" s="2" t="n">
        <v>90</v>
      </c>
      <c r="G532" s="2" t="s">
        <v>61</v>
      </c>
      <c r="H532" s="6" t="str">
        <f aca="false">A532&amp;"_"&amp;B532</f>
        <v>jureia_3</v>
      </c>
      <c r="I532" s="6" t="str">
        <f aca="false">H532&amp;"_"&amp;C532&amp;"_"&amp;G532</f>
        <v>jureia_3_84_Andira fraxinifolia</v>
      </c>
      <c r="J532" s="6" t="n">
        <f aca="false">IF(COUNTIF($I$2:I532,I532)=1,1,0)</f>
        <v>1</v>
      </c>
      <c r="K532" s="6" t="n">
        <f aca="false">E532*$Q$2</f>
        <v>34</v>
      </c>
      <c r="L532" s="7" t="n">
        <f aca="false">K532/PI()</f>
        <v>10.8225361302489</v>
      </c>
      <c r="M532" s="8" t="n">
        <f aca="false">PI()*L532^2/40000</f>
        <v>0.00919915571071155</v>
      </c>
      <c r="N532" s="7" t="n">
        <f aca="false">F532*$Q$3</f>
        <v>9</v>
      </c>
      <c r="O532" s="3"/>
      <c r="P532" s="3"/>
      <c r="Q532" s="3"/>
    </row>
    <row r="533" customFormat="false" ht="15" hidden="false" customHeight="false" outlineLevel="0" collapsed="false">
      <c r="A533" s="2" t="s">
        <v>50</v>
      </c>
      <c r="B533" s="2" t="n">
        <v>3</v>
      </c>
      <c r="C533" s="2" t="n">
        <v>85</v>
      </c>
      <c r="D533" s="2" t="n">
        <v>1</v>
      </c>
      <c r="E533" s="2" t="n">
        <v>190</v>
      </c>
      <c r="F533" s="2" t="n">
        <v>50</v>
      </c>
      <c r="G533" s="2" t="s">
        <v>61</v>
      </c>
      <c r="H533" s="6" t="str">
        <f aca="false">A533&amp;"_"&amp;B533</f>
        <v>jureia_3</v>
      </c>
      <c r="I533" s="6" t="str">
        <f aca="false">H533&amp;"_"&amp;C533&amp;"_"&amp;G533</f>
        <v>jureia_3_85_Andira fraxinifolia</v>
      </c>
      <c r="J533" s="6" t="n">
        <f aca="false">IF(COUNTIF($I$2:I533,I533)=1,1,0)</f>
        <v>1</v>
      </c>
      <c r="K533" s="6" t="n">
        <f aca="false">E533*$Q$2</f>
        <v>19</v>
      </c>
      <c r="L533" s="7" t="n">
        <f aca="false">K533/PI()</f>
        <v>6.04788783749202</v>
      </c>
      <c r="M533" s="8" t="n">
        <f aca="false">PI()*L533^2/40000</f>
        <v>0.00287274672280871</v>
      </c>
      <c r="N533" s="7" t="n">
        <f aca="false">F533*$Q$3</f>
        <v>5</v>
      </c>
      <c r="O533" s="3"/>
      <c r="P533" s="3"/>
      <c r="Q533" s="3"/>
    </row>
    <row r="534" customFormat="false" ht="15" hidden="false" customHeight="false" outlineLevel="0" collapsed="false">
      <c r="A534" s="2" t="s">
        <v>50</v>
      </c>
      <c r="B534" s="2" t="n">
        <v>3</v>
      </c>
      <c r="C534" s="2" t="n">
        <v>86</v>
      </c>
      <c r="D534" s="2" t="n">
        <v>1</v>
      </c>
      <c r="E534" s="2" t="n">
        <v>230</v>
      </c>
      <c r="F534" s="2" t="n">
        <v>110</v>
      </c>
      <c r="G534" s="2" t="s">
        <v>64</v>
      </c>
      <c r="H534" s="6" t="str">
        <f aca="false">A534&amp;"_"&amp;B534</f>
        <v>jureia_3</v>
      </c>
      <c r="I534" s="6" t="str">
        <f aca="false">H534&amp;"_"&amp;C534&amp;"_"&amp;G534</f>
        <v>jureia_3_86_eugenia3</v>
      </c>
      <c r="J534" s="6" t="n">
        <f aca="false">IF(COUNTIF($I$2:I534,I534)=1,1,0)</f>
        <v>1</v>
      </c>
      <c r="K534" s="6" t="n">
        <f aca="false">E534*$Q$2</f>
        <v>23</v>
      </c>
      <c r="L534" s="7" t="n">
        <f aca="false">K534/PI()</f>
        <v>7.32112738222719</v>
      </c>
      <c r="M534" s="8" t="n">
        <f aca="false">PI()*L534^2/40000</f>
        <v>0.00420964824478063</v>
      </c>
      <c r="N534" s="7" t="n">
        <f aca="false">F534*$Q$3</f>
        <v>11</v>
      </c>
      <c r="O534" s="3"/>
      <c r="P534" s="3"/>
      <c r="Q534" s="3"/>
    </row>
    <row r="535" customFormat="false" ht="15" hidden="false" customHeight="false" outlineLevel="0" collapsed="false">
      <c r="A535" s="2" t="s">
        <v>50</v>
      </c>
      <c r="B535" s="2" t="n">
        <v>3</v>
      </c>
      <c r="C535" s="2" t="n">
        <v>87</v>
      </c>
      <c r="D535" s="2" t="n">
        <v>1</v>
      </c>
      <c r="E535" s="2" t="n">
        <v>470</v>
      </c>
      <c r="F535" s="2" t="n">
        <v>100</v>
      </c>
      <c r="G535" s="2" t="s">
        <v>37</v>
      </c>
      <c r="H535" s="6" t="str">
        <f aca="false">A535&amp;"_"&amp;B535</f>
        <v>jureia_3</v>
      </c>
      <c r="I535" s="6" t="str">
        <f aca="false">H535&amp;"_"&amp;C535&amp;"_"&amp;G535</f>
        <v>jureia_3_87_Tabebuia cassinoides</v>
      </c>
      <c r="J535" s="6" t="n">
        <f aca="false">IF(COUNTIF($I$2:I535,I535)=1,1,0)</f>
        <v>1</v>
      </c>
      <c r="K535" s="6" t="n">
        <f aca="false">E535*$Q$2</f>
        <v>47</v>
      </c>
      <c r="L535" s="7" t="n">
        <f aca="false">K535/PI()</f>
        <v>14.9605646506382</v>
      </c>
      <c r="M535" s="8" t="n">
        <f aca="false">PI()*L535^2/40000</f>
        <v>0.0175786634644998</v>
      </c>
      <c r="N535" s="7" t="n">
        <f aca="false">F535*$Q$3</f>
        <v>10</v>
      </c>
      <c r="O535" s="3"/>
      <c r="P535" s="3"/>
      <c r="Q535" s="3"/>
    </row>
    <row r="536" customFormat="false" ht="15" hidden="false" customHeight="false" outlineLevel="0" collapsed="false">
      <c r="A536" s="2" t="s">
        <v>50</v>
      </c>
      <c r="B536" s="2" t="n">
        <v>3</v>
      </c>
      <c r="C536" s="2" t="n">
        <v>88</v>
      </c>
      <c r="D536" s="2" t="n">
        <v>1</v>
      </c>
      <c r="E536" s="2" t="n">
        <v>720</v>
      </c>
      <c r="F536" s="2" t="n">
        <v>130</v>
      </c>
      <c r="G536" s="2" t="s">
        <v>57</v>
      </c>
      <c r="H536" s="6" t="str">
        <f aca="false">A536&amp;"_"&amp;B536</f>
        <v>jureia_3</v>
      </c>
      <c r="I536" s="6" t="str">
        <f aca="false">H536&amp;"_"&amp;C536&amp;"_"&amp;G536</f>
        <v>jureia_3_88_Ficus sp</v>
      </c>
      <c r="J536" s="6" t="n">
        <f aca="false">IF(COUNTIF($I$2:I536,I536)=1,1,0)</f>
        <v>1</v>
      </c>
      <c r="K536" s="6" t="n">
        <f aca="false">E536*$Q$2</f>
        <v>72</v>
      </c>
      <c r="L536" s="7" t="n">
        <f aca="false">K536/PI()</f>
        <v>22.9183118052329</v>
      </c>
      <c r="M536" s="8" t="n">
        <f aca="false">PI()*L536^2/40000</f>
        <v>0.0412529612494193</v>
      </c>
      <c r="N536" s="7" t="n">
        <f aca="false">F536*$Q$3</f>
        <v>13</v>
      </c>
      <c r="O536" s="3"/>
      <c r="P536" s="3"/>
      <c r="Q536" s="3"/>
    </row>
    <row r="537" customFormat="false" ht="15" hidden="false" customHeight="false" outlineLevel="0" collapsed="false">
      <c r="A537" s="2" t="s">
        <v>50</v>
      </c>
      <c r="B537" s="2" t="n">
        <v>3</v>
      </c>
      <c r="C537" s="2" t="n">
        <v>89</v>
      </c>
      <c r="D537" s="2" t="n">
        <v>1</v>
      </c>
      <c r="E537" s="2" t="n">
        <v>270</v>
      </c>
      <c r="F537" s="2" t="n">
        <v>90</v>
      </c>
      <c r="G537" s="2" t="s">
        <v>37</v>
      </c>
      <c r="H537" s="6" t="str">
        <f aca="false">A537&amp;"_"&amp;B537</f>
        <v>jureia_3</v>
      </c>
      <c r="I537" s="6" t="str">
        <f aca="false">H537&amp;"_"&amp;C537&amp;"_"&amp;G537</f>
        <v>jureia_3_89_Tabebuia cassinoides</v>
      </c>
      <c r="J537" s="6" t="n">
        <f aca="false">IF(COUNTIF($I$2:I537,I537)=1,1,0)</f>
        <v>1</v>
      </c>
      <c r="K537" s="6" t="n">
        <f aca="false">E537*$Q$2</f>
        <v>27</v>
      </c>
      <c r="L537" s="7" t="n">
        <f aca="false">K537/PI()</f>
        <v>8.59436692696235</v>
      </c>
      <c r="M537" s="8" t="n">
        <f aca="false">PI()*L537^2/40000</f>
        <v>0.00580119767569958</v>
      </c>
      <c r="N537" s="7" t="n">
        <f aca="false">F537*$Q$3</f>
        <v>9</v>
      </c>
      <c r="O537" s="3"/>
      <c r="P537" s="3"/>
      <c r="Q537" s="3"/>
    </row>
    <row r="538" customFormat="false" ht="15" hidden="false" customHeight="false" outlineLevel="0" collapsed="false">
      <c r="A538" s="2" t="s">
        <v>50</v>
      </c>
      <c r="B538" s="2" t="n">
        <v>3</v>
      </c>
      <c r="C538" s="2" t="n">
        <v>89</v>
      </c>
      <c r="D538" s="2" t="n">
        <v>2</v>
      </c>
      <c r="E538" s="2" t="n">
        <v>320</v>
      </c>
      <c r="F538" s="2" t="n">
        <v>90</v>
      </c>
      <c r="G538" s="2" t="s">
        <v>37</v>
      </c>
      <c r="H538" s="6" t="str">
        <f aca="false">A538&amp;"_"&amp;B538</f>
        <v>jureia_3</v>
      </c>
      <c r="I538" s="6" t="str">
        <f aca="false">H538&amp;"_"&amp;C538&amp;"_"&amp;G538</f>
        <v>jureia_3_89_Tabebuia cassinoides</v>
      </c>
      <c r="J538" s="6" t="n">
        <f aca="false">IF(COUNTIF($I$2:I538,I538)=1,1,0)</f>
        <v>0</v>
      </c>
      <c r="K538" s="6" t="n">
        <f aca="false">E538*$Q$2</f>
        <v>32</v>
      </c>
      <c r="L538" s="7" t="n">
        <f aca="false">K538/PI()</f>
        <v>10.1859163578813</v>
      </c>
      <c r="M538" s="8" t="n">
        <f aca="false">PI()*L538^2/40000</f>
        <v>0.00814873308630504</v>
      </c>
      <c r="N538" s="7" t="n">
        <f aca="false">F538*$Q$3</f>
        <v>9</v>
      </c>
      <c r="O538" s="3"/>
      <c r="P538" s="3"/>
      <c r="Q538" s="3"/>
    </row>
    <row r="539" customFormat="false" ht="15" hidden="false" customHeight="false" outlineLevel="0" collapsed="false">
      <c r="A539" s="2" t="s">
        <v>50</v>
      </c>
      <c r="B539" s="2" t="n">
        <v>3</v>
      </c>
      <c r="C539" s="2" t="n">
        <v>89</v>
      </c>
      <c r="D539" s="2" t="n">
        <v>3</v>
      </c>
      <c r="E539" s="2" t="n">
        <v>290</v>
      </c>
      <c r="F539" s="2" t="n">
        <v>90</v>
      </c>
      <c r="G539" s="2" t="s">
        <v>37</v>
      </c>
      <c r="H539" s="6" t="str">
        <f aca="false">A539&amp;"_"&amp;B539</f>
        <v>jureia_3</v>
      </c>
      <c r="I539" s="6" t="str">
        <f aca="false">H539&amp;"_"&amp;C539&amp;"_"&amp;G539</f>
        <v>jureia_3_89_Tabebuia cassinoides</v>
      </c>
      <c r="J539" s="6" t="n">
        <f aca="false">IF(COUNTIF($I$2:I539,I539)=1,1,0)</f>
        <v>0</v>
      </c>
      <c r="K539" s="6" t="n">
        <f aca="false">E539*$Q$2</f>
        <v>29</v>
      </c>
      <c r="L539" s="7" t="n">
        <f aca="false">K539/PI()</f>
        <v>9.23098669932993</v>
      </c>
      <c r="M539" s="8" t="n">
        <f aca="false">PI()*L539^2/40000</f>
        <v>0.0066924653570142</v>
      </c>
      <c r="N539" s="7" t="n">
        <f aca="false">F539*$Q$3</f>
        <v>9</v>
      </c>
      <c r="O539" s="3"/>
      <c r="P539" s="3"/>
      <c r="Q539" s="3"/>
    </row>
    <row r="540" customFormat="false" ht="15" hidden="false" customHeight="false" outlineLevel="0" collapsed="false">
      <c r="A540" s="2" t="s">
        <v>50</v>
      </c>
      <c r="B540" s="2" t="n">
        <v>3</v>
      </c>
      <c r="C540" s="2" t="n">
        <v>90</v>
      </c>
      <c r="D540" s="2" t="n">
        <v>1</v>
      </c>
      <c r="E540" s="2" t="n">
        <v>430</v>
      </c>
      <c r="F540" s="2" t="n">
        <v>90</v>
      </c>
      <c r="G540" s="2" t="s">
        <v>37</v>
      </c>
      <c r="H540" s="6" t="str">
        <f aca="false">A540&amp;"_"&amp;B540</f>
        <v>jureia_3</v>
      </c>
      <c r="I540" s="6" t="str">
        <f aca="false">H540&amp;"_"&amp;C540&amp;"_"&amp;G540</f>
        <v>jureia_3_90_Tabebuia cassinoides</v>
      </c>
      <c r="J540" s="6" t="n">
        <f aca="false">IF(COUNTIF($I$2:I540,I540)=1,1,0)</f>
        <v>1</v>
      </c>
      <c r="K540" s="6" t="n">
        <f aca="false">E540*$Q$2</f>
        <v>43</v>
      </c>
      <c r="L540" s="7" t="n">
        <f aca="false">K540/PI()</f>
        <v>13.687325105903</v>
      </c>
      <c r="M540" s="8" t="n">
        <f aca="false">PI()*L540^2/40000</f>
        <v>0.0147138744888457</v>
      </c>
      <c r="N540" s="7" t="n">
        <f aca="false">F540*$Q$3</f>
        <v>9</v>
      </c>
      <c r="O540" s="3"/>
      <c r="P540" s="3"/>
      <c r="Q540" s="3"/>
    </row>
    <row r="541" customFormat="false" ht="15" hidden="false" customHeight="false" outlineLevel="0" collapsed="false">
      <c r="A541" s="2" t="s">
        <v>50</v>
      </c>
      <c r="B541" s="2" t="n">
        <v>3</v>
      </c>
      <c r="C541" s="2" t="n">
        <v>91</v>
      </c>
      <c r="D541" s="2" t="n">
        <v>1</v>
      </c>
      <c r="E541" s="2" t="n">
        <v>880</v>
      </c>
      <c r="F541" s="2" t="n">
        <v>100</v>
      </c>
      <c r="G541" s="2" t="s">
        <v>37</v>
      </c>
      <c r="H541" s="6" t="str">
        <f aca="false">A541&amp;"_"&amp;B541</f>
        <v>jureia_3</v>
      </c>
      <c r="I541" s="6" t="str">
        <f aca="false">H541&amp;"_"&amp;C541&amp;"_"&amp;G541</f>
        <v>jureia_3_91_Tabebuia cassinoides</v>
      </c>
      <c r="J541" s="6" t="n">
        <f aca="false">IF(COUNTIF($I$2:I541,I541)=1,1,0)</f>
        <v>1</v>
      </c>
      <c r="K541" s="6" t="n">
        <f aca="false">E541*$Q$2</f>
        <v>88</v>
      </c>
      <c r="L541" s="7" t="n">
        <f aca="false">K541/PI()</f>
        <v>28.0112699841736</v>
      </c>
      <c r="M541" s="8" t="n">
        <f aca="false">PI()*L541^2/40000</f>
        <v>0.0616247939651819</v>
      </c>
      <c r="N541" s="7" t="n">
        <f aca="false">F541*$Q$3</f>
        <v>10</v>
      </c>
      <c r="O541" s="3"/>
      <c r="P541" s="3"/>
      <c r="Q541" s="3"/>
    </row>
    <row r="542" customFormat="false" ht="15" hidden="false" customHeight="false" outlineLevel="0" collapsed="false">
      <c r="A542" s="2" t="s">
        <v>50</v>
      </c>
      <c r="B542" s="2" t="n">
        <v>3</v>
      </c>
      <c r="C542" s="2" t="n">
        <v>91</v>
      </c>
      <c r="D542" s="2" t="n">
        <v>2</v>
      </c>
      <c r="E542" s="2" t="n">
        <v>380</v>
      </c>
      <c r="F542" s="2" t="n">
        <v>100</v>
      </c>
      <c r="G542" s="2" t="s">
        <v>37</v>
      </c>
      <c r="H542" s="6" t="str">
        <f aca="false">A542&amp;"_"&amp;B542</f>
        <v>jureia_3</v>
      </c>
      <c r="I542" s="6" t="str">
        <f aca="false">H542&amp;"_"&amp;C542&amp;"_"&amp;G542</f>
        <v>jureia_3_91_Tabebuia cassinoides</v>
      </c>
      <c r="J542" s="6" t="n">
        <f aca="false">IF(COUNTIF($I$2:I542,I542)=1,1,0)</f>
        <v>0</v>
      </c>
      <c r="K542" s="6" t="n">
        <f aca="false">E542*$Q$2</f>
        <v>38</v>
      </c>
      <c r="L542" s="7" t="n">
        <f aca="false">K542/PI()</f>
        <v>12.095775674984</v>
      </c>
      <c r="M542" s="8" t="n">
        <f aca="false">PI()*L542^2/40000</f>
        <v>0.0114909868912348</v>
      </c>
      <c r="N542" s="7" t="n">
        <f aca="false">F542*$Q$3</f>
        <v>10</v>
      </c>
      <c r="O542" s="3"/>
      <c r="P542" s="3"/>
      <c r="Q542" s="3"/>
    </row>
    <row r="543" customFormat="false" ht="15" hidden="false" customHeight="false" outlineLevel="0" collapsed="false">
      <c r="A543" s="2" t="s">
        <v>50</v>
      </c>
      <c r="B543" s="2" t="n">
        <v>3</v>
      </c>
      <c r="C543" s="2" t="n">
        <v>92</v>
      </c>
      <c r="D543" s="2" t="n">
        <v>1</v>
      </c>
      <c r="E543" s="2" t="n">
        <v>310</v>
      </c>
      <c r="F543" s="2" t="n">
        <v>110</v>
      </c>
      <c r="G543" s="2" t="s">
        <v>37</v>
      </c>
      <c r="H543" s="6" t="str">
        <f aca="false">A543&amp;"_"&amp;B543</f>
        <v>jureia_3</v>
      </c>
      <c r="I543" s="6" t="str">
        <f aca="false">H543&amp;"_"&amp;C543&amp;"_"&amp;G543</f>
        <v>jureia_3_92_Tabebuia cassinoides</v>
      </c>
      <c r="J543" s="6" t="n">
        <f aca="false">IF(COUNTIF($I$2:I543,I543)=1,1,0)</f>
        <v>1</v>
      </c>
      <c r="K543" s="6" t="n">
        <f aca="false">E543*$Q$2</f>
        <v>31</v>
      </c>
      <c r="L543" s="7" t="n">
        <f aca="false">K543/PI()</f>
        <v>9.86760647169751</v>
      </c>
      <c r="M543" s="8" t="n">
        <f aca="false">PI()*L543^2/40000</f>
        <v>0.00764739501556557</v>
      </c>
      <c r="N543" s="7" t="n">
        <f aca="false">F543*$Q$3</f>
        <v>11</v>
      </c>
      <c r="O543" s="3"/>
      <c r="P543" s="3"/>
      <c r="Q543" s="3"/>
    </row>
    <row r="544" customFormat="false" ht="15" hidden="false" customHeight="false" outlineLevel="0" collapsed="false">
      <c r="A544" s="2" t="s">
        <v>50</v>
      </c>
      <c r="B544" s="2" t="n">
        <v>3</v>
      </c>
      <c r="C544" s="2" t="n">
        <v>92</v>
      </c>
      <c r="D544" s="2" t="n">
        <v>2</v>
      </c>
      <c r="E544" s="2" t="n">
        <v>320</v>
      </c>
      <c r="F544" s="2" t="n">
        <v>110</v>
      </c>
      <c r="G544" s="2" t="s">
        <v>37</v>
      </c>
      <c r="H544" s="6" t="str">
        <f aca="false">A544&amp;"_"&amp;B544</f>
        <v>jureia_3</v>
      </c>
      <c r="I544" s="6" t="str">
        <f aca="false">H544&amp;"_"&amp;C544&amp;"_"&amp;G544</f>
        <v>jureia_3_92_Tabebuia cassinoides</v>
      </c>
      <c r="J544" s="6" t="n">
        <f aca="false">IF(COUNTIF($I$2:I544,I544)=1,1,0)</f>
        <v>0</v>
      </c>
      <c r="K544" s="6" t="n">
        <f aca="false">E544*$Q$2</f>
        <v>32</v>
      </c>
      <c r="L544" s="7" t="n">
        <f aca="false">K544/PI()</f>
        <v>10.1859163578813</v>
      </c>
      <c r="M544" s="8" t="n">
        <f aca="false">PI()*L544^2/40000</f>
        <v>0.00814873308630504</v>
      </c>
      <c r="N544" s="7" t="n">
        <f aca="false">F544*$Q$3</f>
        <v>11</v>
      </c>
      <c r="O544" s="3"/>
      <c r="P544" s="3"/>
      <c r="Q544" s="3"/>
    </row>
    <row r="545" customFormat="false" ht="15" hidden="false" customHeight="false" outlineLevel="0" collapsed="false">
      <c r="A545" s="2" t="s">
        <v>50</v>
      </c>
      <c r="B545" s="2" t="n">
        <v>4</v>
      </c>
      <c r="C545" s="2" t="n">
        <v>93</v>
      </c>
      <c r="D545" s="2" t="n">
        <v>1</v>
      </c>
      <c r="E545" s="2" t="n">
        <v>270</v>
      </c>
      <c r="F545" s="2" t="n">
        <v>100</v>
      </c>
      <c r="G545" s="2" t="s">
        <v>52</v>
      </c>
      <c r="H545" s="6" t="str">
        <f aca="false">A545&amp;"_"&amp;B545</f>
        <v>jureia_4</v>
      </c>
      <c r="I545" s="6" t="str">
        <f aca="false">H545&amp;"_"&amp;C545&amp;"_"&amp;G545</f>
        <v>jureia_4_93_jussara</v>
      </c>
      <c r="J545" s="6" t="n">
        <f aca="false">IF(COUNTIF($I$2:I545,I545)=1,1,0)</f>
        <v>1</v>
      </c>
      <c r="K545" s="6" t="n">
        <f aca="false">E545*$Q$2</f>
        <v>27</v>
      </c>
      <c r="L545" s="7" t="n">
        <f aca="false">K545/PI()</f>
        <v>8.59436692696235</v>
      </c>
      <c r="M545" s="8" t="n">
        <f aca="false">PI()*L545^2/40000</f>
        <v>0.00580119767569958</v>
      </c>
      <c r="N545" s="7" t="n">
        <f aca="false">F545*$Q$3</f>
        <v>10</v>
      </c>
      <c r="O545" s="3"/>
      <c r="P545" s="3"/>
      <c r="Q545" s="3"/>
    </row>
    <row r="546" customFormat="false" ht="15" hidden="false" customHeight="false" outlineLevel="0" collapsed="false">
      <c r="A546" s="2" t="s">
        <v>50</v>
      </c>
      <c r="B546" s="2" t="n">
        <v>4</v>
      </c>
      <c r="C546" s="2" t="n">
        <v>94</v>
      </c>
      <c r="D546" s="2" t="n">
        <v>1</v>
      </c>
      <c r="E546" s="2" t="n">
        <v>200</v>
      </c>
      <c r="F546" s="2" t="n">
        <v>60</v>
      </c>
      <c r="G546" s="2" t="s">
        <v>37</v>
      </c>
      <c r="H546" s="6" t="str">
        <f aca="false">A546&amp;"_"&amp;B546</f>
        <v>jureia_4</v>
      </c>
      <c r="I546" s="6" t="str">
        <f aca="false">H546&amp;"_"&amp;C546&amp;"_"&amp;G546</f>
        <v>jureia_4_94_Tabebuia cassinoides</v>
      </c>
      <c r="J546" s="6" t="n">
        <f aca="false">IF(COUNTIF($I$2:I546,I546)=1,1,0)</f>
        <v>1</v>
      </c>
      <c r="K546" s="6" t="n">
        <f aca="false">E546*$Q$2</f>
        <v>20</v>
      </c>
      <c r="L546" s="7" t="n">
        <f aca="false">K546/PI()</f>
        <v>6.36619772367581</v>
      </c>
      <c r="M546" s="8" t="n">
        <f aca="false">PI()*L546^2/40000</f>
        <v>0.00318309886183791</v>
      </c>
      <c r="N546" s="7" t="n">
        <f aca="false">F546*$Q$3</f>
        <v>6</v>
      </c>
      <c r="O546" s="3"/>
      <c r="P546" s="3"/>
      <c r="Q546" s="3"/>
    </row>
    <row r="547" customFormat="false" ht="15" hidden="false" customHeight="false" outlineLevel="0" collapsed="false">
      <c r="A547" s="2" t="s">
        <v>50</v>
      </c>
      <c r="B547" s="2" t="n">
        <v>4</v>
      </c>
      <c r="C547" s="2" t="n">
        <v>95</v>
      </c>
      <c r="D547" s="2" t="n">
        <v>1</v>
      </c>
      <c r="E547" s="2" t="n">
        <v>270</v>
      </c>
      <c r="F547" s="2" t="n">
        <v>100</v>
      </c>
      <c r="G547" s="2" t="s">
        <v>59</v>
      </c>
      <c r="H547" s="6" t="str">
        <f aca="false">A547&amp;"_"&amp;B547</f>
        <v>jureia_4</v>
      </c>
      <c r="I547" s="6" t="str">
        <f aca="false">H547&amp;"_"&amp;C547&amp;"_"&amp;G547</f>
        <v>jureia_4_95_Coussapoa macrocarpa</v>
      </c>
      <c r="J547" s="6" t="n">
        <f aca="false">IF(COUNTIF($I$2:I547,I547)=1,1,0)</f>
        <v>1</v>
      </c>
      <c r="K547" s="6" t="n">
        <f aca="false">E547*$Q$2</f>
        <v>27</v>
      </c>
      <c r="L547" s="7" t="n">
        <f aca="false">K547/PI()</f>
        <v>8.59436692696235</v>
      </c>
      <c r="M547" s="8" t="n">
        <f aca="false">PI()*L547^2/40000</f>
        <v>0.00580119767569958</v>
      </c>
      <c r="N547" s="7" t="n">
        <f aca="false">F547*$Q$3</f>
        <v>10</v>
      </c>
      <c r="O547" s="3"/>
      <c r="P547" s="3"/>
      <c r="Q547" s="3"/>
    </row>
    <row r="548" customFormat="false" ht="15" hidden="false" customHeight="false" outlineLevel="0" collapsed="false">
      <c r="A548" s="2" t="s">
        <v>50</v>
      </c>
      <c r="B548" s="2" t="n">
        <v>4</v>
      </c>
      <c r="C548" s="2" t="n">
        <v>96</v>
      </c>
      <c r="D548" s="2" t="n">
        <v>1</v>
      </c>
      <c r="E548" s="2" t="n">
        <v>280</v>
      </c>
      <c r="F548" s="2" t="n">
        <v>80</v>
      </c>
      <c r="G548" s="2" t="s">
        <v>59</v>
      </c>
      <c r="H548" s="6" t="str">
        <f aca="false">A548&amp;"_"&amp;B548</f>
        <v>jureia_4</v>
      </c>
      <c r="I548" s="6" t="str">
        <f aca="false">H548&amp;"_"&amp;C548&amp;"_"&amp;G548</f>
        <v>jureia_4_96_Coussapoa macrocarpa</v>
      </c>
      <c r="J548" s="6" t="n">
        <f aca="false">IF(COUNTIF($I$2:I548,I548)=1,1,0)</f>
        <v>1</v>
      </c>
      <c r="K548" s="6" t="n">
        <f aca="false">E548*$Q$2</f>
        <v>28</v>
      </c>
      <c r="L548" s="7" t="n">
        <f aca="false">K548/PI()</f>
        <v>8.91267681314614</v>
      </c>
      <c r="M548" s="8" t="n">
        <f aca="false">PI()*L548^2/40000</f>
        <v>0.0062388737692023</v>
      </c>
      <c r="N548" s="7" t="n">
        <f aca="false">F548*$Q$3</f>
        <v>8</v>
      </c>
      <c r="O548" s="3"/>
      <c r="P548" s="3"/>
      <c r="Q548" s="3"/>
    </row>
    <row r="549" customFormat="false" ht="15" hidden="false" customHeight="false" outlineLevel="0" collapsed="false">
      <c r="A549" s="2" t="s">
        <v>50</v>
      </c>
      <c r="B549" s="2" t="n">
        <v>4</v>
      </c>
      <c r="C549" s="2" t="n">
        <v>97</v>
      </c>
      <c r="D549" s="2" t="n">
        <v>1</v>
      </c>
      <c r="E549" s="2" t="n">
        <v>280</v>
      </c>
      <c r="F549" s="2" t="n">
        <v>90</v>
      </c>
      <c r="G549" s="2" t="s">
        <v>52</v>
      </c>
      <c r="H549" s="6" t="str">
        <f aca="false">A549&amp;"_"&amp;B549</f>
        <v>jureia_4</v>
      </c>
      <c r="I549" s="6" t="str">
        <f aca="false">H549&amp;"_"&amp;C549&amp;"_"&amp;G549</f>
        <v>jureia_4_97_jussara</v>
      </c>
      <c r="J549" s="6" t="n">
        <f aca="false">IF(COUNTIF($I$2:I549,I549)=1,1,0)</f>
        <v>1</v>
      </c>
      <c r="K549" s="6" t="n">
        <f aca="false">E549*$Q$2</f>
        <v>28</v>
      </c>
      <c r="L549" s="7" t="n">
        <f aca="false">K549/PI()</f>
        <v>8.91267681314614</v>
      </c>
      <c r="M549" s="8" t="n">
        <f aca="false">PI()*L549^2/40000</f>
        <v>0.0062388737692023</v>
      </c>
      <c r="N549" s="7" t="n">
        <f aca="false">F549*$Q$3</f>
        <v>9</v>
      </c>
      <c r="O549" s="3"/>
      <c r="P549" s="3"/>
      <c r="Q549" s="3"/>
    </row>
    <row r="550" customFormat="false" ht="15" hidden="false" customHeight="false" outlineLevel="0" collapsed="false">
      <c r="A550" s="2" t="s">
        <v>50</v>
      </c>
      <c r="B550" s="2" t="n">
        <v>4</v>
      </c>
      <c r="C550" s="2" t="n">
        <v>98</v>
      </c>
      <c r="D550" s="2" t="n">
        <v>1</v>
      </c>
      <c r="E550" s="2" t="n">
        <v>330</v>
      </c>
      <c r="F550" s="2" t="n">
        <v>110</v>
      </c>
      <c r="G550" s="2" t="s">
        <v>52</v>
      </c>
      <c r="H550" s="6" t="str">
        <f aca="false">A550&amp;"_"&amp;B550</f>
        <v>jureia_4</v>
      </c>
      <c r="I550" s="6" t="str">
        <f aca="false">H550&amp;"_"&amp;C550&amp;"_"&amp;G550</f>
        <v>jureia_4_98_jussara</v>
      </c>
      <c r="J550" s="6" t="n">
        <f aca="false">IF(COUNTIF($I$2:I550,I550)=1,1,0)</f>
        <v>1</v>
      </c>
      <c r="K550" s="6" t="n">
        <f aca="false">E550*$Q$2</f>
        <v>33</v>
      </c>
      <c r="L550" s="7" t="n">
        <f aca="false">K550/PI()</f>
        <v>10.5042262440651</v>
      </c>
      <c r="M550" s="8" t="n">
        <f aca="false">PI()*L550^2/40000</f>
        <v>0.0086659866513537</v>
      </c>
      <c r="N550" s="7" t="n">
        <f aca="false">F550*$Q$3</f>
        <v>11</v>
      </c>
      <c r="O550" s="3"/>
      <c r="P550" s="3"/>
      <c r="Q550" s="3"/>
    </row>
    <row r="551" customFormat="false" ht="15" hidden="false" customHeight="false" outlineLevel="0" collapsed="false">
      <c r="A551" s="2" t="s">
        <v>50</v>
      </c>
      <c r="B551" s="2" t="n">
        <v>4</v>
      </c>
      <c r="C551" s="2" t="n">
        <v>99</v>
      </c>
      <c r="D551" s="2" t="n">
        <v>1</v>
      </c>
      <c r="E551" s="2" t="n">
        <v>330</v>
      </c>
      <c r="F551" s="2" t="n">
        <v>110</v>
      </c>
      <c r="G551" s="2" t="s">
        <v>65</v>
      </c>
      <c r="H551" s="6" t="str">
        <f aca="false">A551&amp;"_"&amp;B551</f>
        <v>jureia_4</v>
      </c>
      <c r="I551" s="6" t="str">
        <f aca="false">H551&amp;"_"&amp;C551&amp;"_"&amp;G551</f>
        <v>jureia_4_99_Ilex durosa</v>
      </c>
      <c r="J551" s="6" t="n">
        <f aca="false">IF(COUNTIF($I$2:I551,I551)=1,1,0)</f>
        <v>1</v>
      </c>
      <c r="K551" s="6" t="n">
        <f aca="false">E551*$Q$2</f>
        <v>33</v>
      </c>
      <c r="L551" s="7" t="n">
        <f aca="false">K551/PI()</f>
        <v>10.5042262440651</v>
      </c>
      <c r="M551" s="8" t="n">
        <f aca="false">PI()*L551^2/40000</f>
        <v>0.0086659866513537</v>
      </c>
      <c r="N551" s="7" t="n">
        <f aca="false">F551*$Q$3</f>
        <v>11</v>
      </c>
      <c r="O551" s="3"/>
      <c r="P551" s="3"/>
      <c r="Q551" s="3"/>
    </row>
    <row r="552" customFormat="false" ht="15" hidden="false" customHeight="false" outlineLevel="0" collapsed="false">
      <c r="A552" s="2" t="s">
        <v>50</v>
      </c>
      <c r="B552" s="2" t="n">
        <v>4</v>
      </c>
      <c r="C552" s="2" t="n">
        <v>100</v>
      </c>
      <c r="D552" s="2" t="n">
        <v>1</v>
      </c>
      <c r="E552" s="2" t="n">
        <v>280</v>
      </c>
      <c r="F552" s="2" t="n">
        <v>60</v>
      </c>
      <c r="G552" s="2" t="s">
        <v>52</v>
      </c>
      <c r="H552" s="6" t="str">
        <f aca="false">A552&amp;"_"&amp;B552</f>
        <v>jureia_4</v>
      </c>
      <c r="I552" s="6" t="str">
        <f aca="false">H552&amp;"_"&amp;C552&amp;"_"&amp;G552</f>
        <v>jureia_4_100_jussara</v>
      </c>
      <c r="J552" s="6" t="n">
        <f aca="false">IF(COUNTIF($I$2:I552,I552)=1,1,0)</f>
        <v>1</v>
      </c>
      <c r="K552" s="6" t="n">
        <f aca="false">E552*$Q$2</f>
        <v>28</v>
      </c>
      <c r="L552" s="7" t="n">
        <f aca="false">K552/PI()</f>
        <v>8.91267681314614</v>
      </c>
      <c r="M552" s="8" t="n">
        <f aca="false">PI()*L552^2/40000</f>
        <v>0.0062388737692023</v>
      </c>
      <c r="N552" s="7" t="n">
        <f aca="false">F552*$Q$3</f>
        <v>6</v>
      </c>
      <c r="O552" s="3"/>
      <c r="P552" s="3"/>
      <c r="Q552" s="3"/>
    </row>
    <row r="553" customFormat="false" ht="15" hidden="false" customHeight="false" outlineLevel="0" collapsed="false">
      <c r="A553" s="2" t="s">
        <v>50</v>
      </c>
      <c r="B553" s="2" t="n">
        <v>4</v>
      </c>
      <c r="C553" s="2" t="n">
        <v>101</v>
      </c>
      <c r="D553" s="2" t="n">
        <v>1</v>
      </c>
      <c r="E553" s="2" t="n">
        <v>300</v>
      </c>
      <c r="F553" s="2" t="n">
        <v>50</v>
      </c>
      <c r="G553" s="2" t="s">
        <v>52</v>
      </c>
      <c r="H553" s="6" t="str">
        <f aca="false">A553&amp;"_"&amp;B553</f>
        <v>jureia_4</v>
      </c>
      <c r="I553" s="6" t="str">
        <f aca="false">H553&amp;"_"&amp;C553&amp;"_"&amp;G553</f>
        <v>jureia_4_101_jussara</v>
      </c>
      <c r="J553" s="6" t="n">
        <f aca="false">IF(COUNTIF($I$2:I553,I553)=1,1,0)</f>
        <v>1</v>
      </c>
      <c r="K553" s="6" t="n">
        <f aca="false">E553*$Q$2</f>
        <v>30</v>
      </c>
      <c r="L553" s="7" t="n">
        <f aca="false">K553/PI()</f>
        <v>9.54929658551372</v>
      </c>
      <c r="M553" s="8" t="n">
        <f aca="false">PI()*L553^2/40000</f>
        <v>0.00716197243913529</v>
      </c>
      <c r="N553" s="7" t="n">
        <f aca="false">F553*$Q$3</f>
        <v>5</v>
      </c>
      <c r="O553" s="3"/>
      <c r="P553" s="3"/>
      <c r="Q553" s="3"/>
    </row>
    <row r="554" customFormat="false" ht="15" hidden="false" customHeight="false" outlineLevel="0" collapsed="false">
      <c r="A554" s="2" t="s">
        <v>50</v>
      </c>
      <c r="B554" s="2" t="n">
        <v>4</v>
      </c>
      <c r="C554" s="2" t="n">
        <v>102</v>
      </c>
      <c r="D554" s="2" t="n">
        <v>1</v>
      </c>
      <c r="E554" s="2" t="n">
        <v>270</v>
      </c>
      <c r="F554" s="2" t="n">
        <v>70</v>
      </c>
      <c r="G554" s="2" t="s">
        <v>52</v>
      </c>
      <c r="H554" s="6" t="str">
        <f aca="false">A554&amp;"_"&amp;B554</f>
        <v>jureia_4</v>
      </c>
      <c r="I554" s="6" t="str">
        <f aca="false">H554&amp;"_"&amp;C554&amp;"_"&amp;G554</f>
        <v>jureia_4_102_jussara</v>
      </c>
      <c r="J554" s="6" t="n">
        <f aca="false">IF(COUNTIF($I$2:I554,I554)=1,1,0)</f>
        <v>1</v>
      </c>
      <c r="K554" s="6" t="n">
        <f aca="false">E554*$Q$2</f>
        <v>27</v>
      </c>
      <c r="L554" s="7" t="n">
        <f aca="false">K554/PI()</f>
        <v>8.59436692696235</v>
      </c>
      <c r="M554" s="8" t="n">
        <f aca="false">PI()*L554^2/40000</f>
        <v>0.00580119767569958</v>
      </c>
      <c r="N554" s="7" t="n">
        <f aca="false">F554*$Q$3</f>
        <v>7</v>
      </c>
      <c r="O554" s="3"/>
      <c r="P554" s="3"/>
      <c r="Q554" s="3"/>
    </row>
    <row r="555" customFormat="false" ht="15" hidden="false" customHeight="false" outlineLevel="0" collapsed="false">
      <c r="A555" s="2" t="s">
        <v>50</v>
      </c>
      <c r="B555" s="2" t="n">
        <v>4</v>
      </c>
      <c r="C555" s="2" t="n">
        <v>103</v>
      </c>
      <c r="D555" s="2" t="n">
        <v>1</v>
      </c>
      <c r="E555" s="2" t="n">
        <v>360</v>
      </c>
      <c r="F555" s="2" t="n">
        <v>110</v>
      </c>
      <c r="G555" s="2" t="s">
        <v>52</v>
      </c>
      <c r="H555" s="6" t="str">
        <f aca="false">A555&amp;"_"&amp;B555</f>
        <v>jureia_4</v>
      </c>
      <c r="I555" s="6" t="str">
        <f aca="false">H555&amp;"_"&amp;C555&amp;"_"&amp;G555</f>
        <v>jureia_4_103_jussara</v>
      </c>
      <c r="J555" s="6" t="n">
        <f aca="false">IF(COUNTIF($I$2:I555,I555)=1,1,0)</f>
        <v>1</v>
      </c>
      <c r="K555" s="6" t="n">
        <f aca="false">E555*$Q$2</f>
        <v>36</v>
      </c>
      <c r="L555" s="7" t="n">
        <f aca="false">K555/PI()</f>
        <v>11.4591559026165</v>
      </c>
      <c r="M555" s="8" t="n">
        <f aca="false">PI()*L555^2/40000</f>
        <v>0.0103132403123548</v>
      </c>
      <c r="N555" s="7" t="n">
        <f aca="false">F555*$Q$3</f>
        <v>11</v>
      </c>
      <c r="O555" s="3"/>
      <c r="P555" s="3"/>
      <c r="Q555" s="3"/>
    </row>
    <row r="556" customFormat="false" ht="15" hidden="false" customHeight="false" outlineLevel="0" collapsed="false">
      <c r="A556" s="2" t="s">
        <v>50</v>
      </c>
      <c r="B556" s="2" t="n">
        <v>4</v>
      </c>
      <c r="C556" s="2" t="n">
        <v>104</v>
      </c>
      <c r="D556" s="2" t="n">
        <v>1</v>
      </c>
      <c r="E556" s="2" t="n">
        <v>480</v>
      </c>
      <c r="F556" s="2" t="n">
        <v>110</v>
      </c>
      <c r="G556" s="2" t="s">
        <v>66</v>
      </c>
      <c r="H556" s="6" t="str">
        <f aca="false">A556&amp;"_"&amp;B556</f>
        <v>jureia_4</v>
      </c>
      <c r="I556" s="6" t="str">
        <f aca="false">H556&amp;"_"&amp;C556&amp;"_"&amp;G556</f>
        <v>jureia_4_104_Inga sp</v>
      </c>
      <c r="J556" s="6" t="n">
        <f aca="false">IF(COUNTIF($I$2:I556,I556)=1,1,0)</f>
        <v>1</v>
      </c>
      <c r="K556" s="6" t="n">
        <f aca="false">E556*$Q$2</f>
        <v>48</v>
      </c>
      <c r="L556" s="7" t="n">
        <f aca="false">K556/PI()</f>
        <v>15.278874536822</v>
      </c>
      <c r="M556" s="8" t="n">
        <f aca="false">PI()*L556^2/40000</f>
        <v>0.0183346494441863</v>
      </c>
      <c r="N556" s="7" t="n">
        <f aca="false">F556*$Q$3</f>
        <v>11</v>
      </c>
      <c r="O556" s="3"/>
      <c r="P556" s="3"/>
      <c r="Q556" s="3"/>
    </row>
    <row r="557" customFormat="false" ht="15" hidden="false" customHeight="false" outlineLevel="0" collapsed="false">
      <c r="A557" s="2" t="s">
        <v>50</v>
      </c>
      <c r="B557" s="2" t="n">
        <v>4</v>
      </c>
      <c r="C557" s="2" t="n">
        <v>105</v>
      </c>
      <c r="D557" s="2" t="n">
        <v>1</v>
      </c>
      <c r="E557" s="2" t="n">
        <v>1400</v>
      </c>
      <c r="F557" s="2" t="n">
        <v>100</v>
      </c>
      <c r="G557" s="2" t="s">
        <v>37</v>
      </c>
      <c r="H557" s="6" t="str">
        <f aca="false">A557&amp;"_"&amp;B557</f>
        <v>jureia_4</v>
      </c>
      <c r="I557" s="6" t="str">
        <f aca="false">H557&amp;"_"&amp;C557&amp;"_"&amp;G557</f>
        <v>jureia_4_105_Tabebuia cassinoides</v>
      </c>
      <c r="J557" s="6" t="n">
        <f aca="false">IF(COUNTIF($I$2:I557,I557)=1,1,0)</f>
        <v>1</v>
      </c>
      <c r="K557" s="6" t="n">
        <f aca="false">E557*$Q$2</f>
        <v>140</v>
      </c>
      <c r="L557" s="7" t="n">
        <f aca="false">K557/PI()</f>
        <v>44.5633840657307</v>
      </c>
      <c r="M557" s="8" t="n">
        <f aca="false">PI()*L557^2/40000</f>
        <v>0.155971844230057</v>
      </c>
      <c r="N557" s="7" t="n">
        <f aca="false">F557*$Q$3</f>
        <v>10</v>
      </c>
      <c r="O557" s="3"/>
      <c r="P557" s="3"/>
      <c r="Q557" s="3"/>
    </row>
    <row r="558" customFormat="false" ht="15" hidden="false" customHeight="false" outlineLevel="0" collapsed="false">
      <c r="A558" s="2" t="s">
        <v>50</v>
      </c>
      <c r="B558" s="2" t="n">
        <v>4</v>
      </c>
      <c r="C558" s="2" t="n">
        <v>106</v>
      </c>
      <c r="D558" s="2" t="n">
        <v>1</v>
      </c>
      <c r="E558" s="2" t="n">
        <v>2100</v>
      </c>
      <c r="F558" s="2" t="n">
        <v>160</v>
      </c>
      <c r="G558" s="2" t="s">
        <v>48</v>
      </c>
      <c r="H558" s="6" t="str">
        <f aca="false">A558&amp;"_"&amp;B558</f>
        <v>jureia_4</v>
      </c>
      <c r="I558" s="6" t="str">
        <f aca="false">H558&amp;"_"&amp;C558&amp;"_"&amp;G558</f>
        <v>jureia_4_106_Calophyllum brasiliensis</v>
      </c>
      <c r="J558" s="6" t="n">
        <f aca="false">IF(COUNTIF($I$2:I558,I558)=1,1,0)</f>
        <v>1</v>
      </c>
      <c r="K558" s="6" t="n">
        <f aca="false">E558*$Q$2</f>
        <v>210</v>
      </c>
      <c r="L558" s="7" t="n">
        <f aca="false">K558/PI()</f>
        <v>66.845076098596</v>
      </c>
      <c r="M558" s="8" t="n">
        <f aca="false">PI()*L558^2/40000</f>
        <v>0.350936649517629</v>
      </c>
      <c r="N558" s="7" t="n">
        <f aca="false">F558*$Q$3</f>
        <v>16</v>
      </c>
      <c r="O558" s="3"/>
      <c r="P558" s="3"/>
      <c r="Q558" s="3"/>
    </row>
    <row r="559" customFormat="false" ht="15" hidden="false" customHeight="false" outlineLevel="0" collapsed="false">
      <c r="A559" s="2" t="s">
        <v>50</v>
      </c>
      <c r="B559" s="2" t="n">
        <v>4</v>
      </c>
      <c r="C559" s="2" t="n">
        <v>107</v>
      </c>
      <c r="D559" s="2" t="n">
        <v>1</v>
      </c>
      <c r="E559" s="2" t="n">
        <v>820</v>
      </c>
      <c r="F559" s="2" t="n">
        <v>150</v>
      </c>
      <c r="G559" s="2" t="s">
        <v>37</v>
      </c>
      <c r="H559" s="6" t="str">
        <f aca="false">A559&amp;"_"&amp;B559</f>
        <v>jureia_4</v>
      </c>
      <c r="I559" s="6" t="str">
        <f aca="false">H559&amp;"_"&amp;C559&amp;"_"&amp;G559</f>
        <v>jureia_4_107_Tabebuia cassinoides</v>
      </c>
      <c r="J559" s="6" t="n">
        <f aca="false">IF(COUNTIF($I$2:I559,I559)=1,1,0)</f>
        <v>1</v>
      </c>
      <c r="K559" s="6" t="n">
        <f aca="false">E559*$Q$2</f>
        <v>82</v>
      </c>
      <c r="L559" s="7" t="n">
        <f aca="false">K559/PI()</f>
        <v>26.1014106670708</v>
      </c>
      <c r="M559" s="8" t="n">
        <f aca="false">PI()*L559^2/40000</f>
        <v>0.0535078918674952</v>
      </c>
      <c r="N559" s="7" t="n">
        <f aca="false">F559*$Q$3</f>
        <v>15</v>
      </c>
      <c r="O559" s="3"/>
      <c r="P559" s="3"/>
      <c r="Q559" s="3"/>
    </row>
    <row r="560" customFormat="false" ht="15" hidden="false" customHeight="false" outlineLevel="0" collapsed="false">
      <c r="A560" s="2" t="s">
        <v>50</v>
      </c>
      <c r="B560" s="2" t="n">
        <v>4</v>
      </c>
      <c r="C560" s="2" t="n">
        <v>108</v>
      </c>
      <c r="D560" s="2" t="n">
        <v>1</v>
      </c>
      <c r="E560" s="2" t="n">
        <v>610</v>
      </c>
      <c r="F560" s="2" t="n">
        <v>140</v>
      </c>
      <c r="G560" s="2" t="s">
        <v>60</v>
      </c>
      <c r="H560" s="6" t="str">
        <f aca="false">A560&amp;"_"&amp;B560</f>
        <v>jureia_4</v>
      </c>
      <c r="I560" s="6" t="str">
        <f aca="false">H560&amp;"_"&amp;C560&amp;"_"&amp;G560</f>
        <v>jureia_4_108_Alchornea triplinervia</v>
      </c>
      <c r="J560" s="6" t="n">
        <f aca="false">IF(COUNTIF($I$2:I560,I560)=1,1,0)</f>
        <v>1</v>
      </c>
      <c r="K560" s="6" t="n">
        <f aca="false">E560*$Q$2</f>
        <v>61</v>
      </c>
      <c r="L560" s="7" t="n">
        <f aca="false">K560/PI()</f>
        <v>19.4169030572112</v>
      </c>
      <c r="M560" s="8" t="n">
        <f aca="false">PI()*L560^2/40000</f>
        <v>0.0296107771622471</v>
      </c>
      <c r="N560" s="7" t="n">
        <f aca="false">F560*$Q$3</f>
        <v>14</v>
      </c>
      <c r="O560" s="3"/>
      <c r="P560" s="3"/>
      <c r="Q560" s="3"/>
    </row>
    <row r="561" customFormat="false" ht="15" hidden="false" customHeight="false" outlineLevel="0" collapsed="false">
      <c r="A561" s="2" t="s">
        <v>50</v>
      </c>
      <c r="B561" s="2" t="n">
        <v>4</v>
      </c>
      <c r="C561" s="2" t="n">
        <v>109</v>
      </c>
      <c r="D561" s="2" t="n">
        <v>1</v>
      </c>
      <c r="E561" s="2" t="n">
        <v>220</v>
      </c>
      <c r="F561" s="2" t="n">
        <v>160</v>
      </c>
      <c r="G561" s="2" t="s">
        <v>52</v>
      </c>
      <c r="H561" s="6" t="str">
        <f aca="false">A561&amp;"_"&amp;B561</f>
        <v>jureia_4</v>
      </c>
      <c r="I561" s="6" t="str">
        <f aca="false">H561&amp;"_"&amp;C561&amp;"_"&amp;G561</f>
        <v>jureia_4_109_jussara</v>
      </c>
      <c r="J561" s="6" t="n">
        <f aca="false">IF(COUNTIF($I$2:I561,I561)=1,1,0)</f>
        <v>1</v>
      </c>
      <c r="K561" s="6" t="n">
        <f aca="false">E561*$Q$2</f>
        <v>22</v>
      </c>
      <c r="L561" s="7" t="n">
        <f aca="false">K561/PI()</f>
        <v>7.0028174960434</v>
      </c>
      <c r="M561" s="8" t="n">
        <f aca="false">PI()*L561^2/40000</f>
        <v>0.00385154962282387</v>
      </c>
      <c r="N561" s="7" t="n">
        <f aca="false">F561*$Q$3</f>
        <v>16</v>
      </c>
      <c r="O561" s="3"/>
      <c r="P561" s="3"/>
      <c r="Q561" s="3"/>
    </row>
    <row r="562" customFormat="false" ht="15" hidden="false" customHeight="false" outlineLevel="0" collapsed="false">
      <c r="A562" s="2" t="s">
        <v>50</v>
      </c>
      <c r="B562" s="2" t="n">
        <v>4</v>
      </c>
      <c r="C562" s="2" t="n">
        <v>110</v>
      </c>
      <c r="D562" s="2" t="n">
        <v>1</v>
      </c>
      <c r="E562" s="2" t="n">
        <v>370</v>
      </c>
      <c r="F562" s="2" t="n">
        <v>70</v>
      </c>
      <c r="G562" s="2" t="s">
        <v>67</v>
      </c>
      <c r="H562" s="6" t="str">
        <f aca="false">A562&amp;"_"&amp;B562</f>
        <v>jureia_4</v>
      </c>
      <c r="I562" s="6" t="str">
        <f aca="false">H562&amp;"_"&amp;C562&amp;"_"&amp;G562</f>
        <v>jureia_4_110_fabaceae1</v>
      </c>
      <c r="J562" s="6" t="n">
        <f aca="false">IF(COUNTIF($I$2:I562,I562)=1,1,0)</f>
        <v>1</v>
      </c>
      <c r="K562" s="6" t="n">
        <f aca="false">E562*$Q$2</f>
        <v>37</v>
      </c>
      <c r="L562" s="7" t="n">
        <f aca="false">K562/PI()</f>
        <v>11.7774657888003</v>
      </c>
      <c r="M562" s="8" t="n">
        <f aca="false">PI()*L562^2/40000</f>
        <v>0.0108941558546402</v>
      </c>
      <c r="N562" s="7" t="n">
        <f aca="false">F562*$Q$3</f>
        <v>7</v>
      </c>
      <c r="O562" s="3"/>
      <c r="P562" s="3"/>
      <c r="Q562" s="3"/>
    </row>
    <row r="563" customFormat="false" ht="15" hidden="false" customHeight="false" outlineLevel="0" collapsed="false">
      <c r="A563" s="2" t="s">
        <v>50</v>
      </c>
      <c r="B563" s="2" t="n">
        <v>4</v>
      </c>
      <c r="C563" s="2" t="n">
        <v>111</v>
      </c>
      <c r="D563" s="2" t="n">
        <v>1</v>
      </c>
      <c r="E563" s="2" t="n">
        <v>350</v>
      </c>
      <c r="F563" s="2" t="n">
        <v>110</v>
      </c>
      <c r="G563" s="2" t="s">
        <v>52</v>
      </c>
      <c r="H563" s="6" t="str">
        <f aca="false">A563&amp;"_"&amp;B563</f>
        <v>jureia_4</v>
      </c>
      <c r="I563" s="6" t="str">
        <f aca="false">H563&amp;"_"&amp;C563&amp;"_"&amp;G563</f>
        <v>jureia_4_111_jussara</v>
      </c>
      <c r="J563" s="6" t="n">
        <f aca="false">IF(COUNTIF($I$2:I563,I563)=1,1,0)</f>
        <v>1</v>
      </c>
      <c r="K563" s="6" t="n">
        <f aca="false">E563*$Q$2</f>
        <v>35</v>
      </c>
      <c r="L563" s="7" t="n">
        <f aca="false">K563/PI()</f>
        <v>11.1408460164327</v>
      </c>
      <c r="M563" s="8" t="n">
        <f aca="false">PI()*L563^2/40000</f>
        <v>0.00974824026437859</v>
      </c>
      <c r="N563" s="7" t="n">
        <f aca="false">F563*$Q$3</f>
        <v>11</v>
      </c>
      <c r="O563" s="3"/>
      <c r="P563" s="3"/>
      <c r="Q563" s="3"/>
    </row>
    <row r="564" customFormat="false" ht="15" hidden="false" customHeight="false" outlineLevel="0" collapsed="false">
      <c r="A564" s="2" t="s">
        <v>50</v>
      </c>
      <c r="B564" s="2" t="n">
        <v>4</v>
      </c>
      <c r="C564" s="2" t="n">
        <v>112</v>
      </c>
      <c r="D564" s="2" t="n">
        <v>1</v>
      </c>
      <c r="E564" s="2" t="n">
        <v>200</v>
      </c>
      <c r="F564" s="2" t="n">
        <v>60</v>
      </c>
      <c r="G564" s="2" t="s">
        <v>52</v>
      </c>
      <c r="H564" s="6" t="str">
        <f aca="false">A564&amp;"_"&amp;B564</f>
        <v>jureia_4</v>
      </c>
      <c r="I564" s="6" t="str">
        <f aca="false">H564&amp;"_"&amp;C564&amp;"_"&amp;G564</f>
        <v>jureia_4_112_jussara</v>
      </c>
      <c r="J564" s="6" t="n">
        <f aca="false">IF(COUNTIF($I$2:I564,I564)=1,1,0)</f>
        <v>1</v>
      </c>
      <c r="K564" s="6" t="n">
        <f aca="false">E564*$Q$2</f>
        <v>20</v>
      </c>
      <c r="L564" s="7" t="n">
        <f aca="false">K564/PI()</f>
        <v>6.36619772367581</v>
      </c>
      <c r="M564" s="8" t="n">
        <f aca="false">PI()*L564^2/40000</f>
        <v>0.00318309886183791</v>
      </c>
      <c r="N564" s="7" t="n">
        <f aca="false">F564*$Q$3</f>
        <v>6</v>
      </c>
      <c r="O564" s="3"/>
      <c r="P564" s="3"/>
      <c r="Q564" s="3"/>
    </row>
    <row r="565" customFormat="false" ht="15" hidden="false" customHeight="false" outlineLevel="0" collapsed="false">
      <c r="A565" s="2" t="s">
        <v>50</v>
      </c>
      <c r="B565" s="2" t="n">
        <v>4</v>
      </c>
      <c r="C565" s="2" t="n">
        <v>113</v>
      </c>
      <c r="D565" s="2" t="n">
        <v>1</v>
      </c>
      <c r="E565" s="2" t="n">
        <v>320</v>
      </c>
      <c r="F565" s="2" t="n">
        <v>90</v>
      </c>
      <c r="G565" s="2" t="s">
        <v>37</v>
      </c>
      <c r="H565" s="6" t="str">
        <f aca="false">A565&amp;"_"&amp;B565</f>
        <v>jureia_4</v>
      </c>
      <c r="I565" s="6" t="str">
        <f aca="false">H565&amp;"_"&amp;C565&amp;"_"&amp;G565</f>
        <v>jureia_4_113_Tabebuia cassinoides</v>
      </c>
      <c r="J565" s="6" t="n">
        <f aca="false">IF(COUNTIF($I$2:I565,I565)=1,1,0)</f>
        <v>1</v>
      </c>
      <c r="K565" s="6" t="n">
        <f aca="false">E565*$Q$2</f>
        <v>32</v>
      </c>
      <c r="L565" s="7" t="n">
        <f aca="false">K565/PI()</f>
        <v>10.1859163578813</v>
      </c>
      <c r="M565" s="8" t="n">
        <f aca="false">PI()*L565^2/40000</f>
        <v>0.00814873308630504</v>
      </c>
      <c r="N565" s="7" t="n">
        <f aca="false">F565*$Q$3</f>
        <v>9</v>
      </c>
      <c r="O565" s="3"/>
      <c r="P565" s="3"/>
      <c r="Q565" s="3"/>
    </row>
    <row r="566" customFormat="false" ht="15" hidden="false" customHeight="false" outlineLevel="0" collapsed="false">
      <c r="A566" s="2" t="s">
        <v>50</v>
      </c>
      <c r="B566" s="2" t="n">
        <v>4</v>
      </c>
      <c r="C566" s="2" t="n">
        <v>114</v>
      </c>
      <c r="D566" s="2" t="n">
        <v>1</v>
      </c>
      <c r="E566" s="2" t="n">
        <v>330</v>
      </c>
      <c r="F566" s="2" t="n">
        <v>110</v>
      </c>
      <c r="G566" s="2" t="s">
        <v>52</v>
      </c>
      <c r="H566" s="6" t="str">
        <f aca="false">A566&amp;"_"&amp;B566</f>
        <v>jureia_4</v>
      </c>
      <c r="I566" s="6" t="str">
        <f aca="false">H566&amp;"_"&amp;C566&amp;"_"&amp;G566</f>
        <v>jureia_4_114_jussara</v>
      </c>
      <c r="J566" s="6" t="n">
        <f aca="false">IF(COUNTIF($I$2:I566,I566)=1,1,0)</f>
        <v>1</v>
      </c>
      <c r="K566" s="6" t="n">
        <f aca="false">E566*$Q$2</f>
        <v>33</v>
      </c>
      <c r="L566" s="7" t="n">
        <f aca="false">K566/PI()</f>
        <v>10.5042262440651</v>
      </c>
      <c r="M566" s="8" t="n">
        <f aca="false">PI()*L566^2/40000</f>
        <v>0.0086659866513537</v>
      </c>
      <c r="N566" s="7" t="n">
        <f aca="false">F566*$Q$3</f>
        <v>11</v>
      </c>
      <c r="O566" s="3"/>
      <c r="P566" s="3"/>
      <c r="Q566" s="3"/>
    </row>
    <row r="567" customFormat="false" ht="15" hidden="false" customHeight="false" outlineLevel="0" collapsed="false">
      <c r="A567" s="2" t="s">
        <v>50</v>
      </c>
      <c r="B567" s="2" t="n">
        <v>4</v>
      </c>
      <c r="C567" s="2" t="n">
        <v>115</v>
      </c>
      <c r="D567" s="2" t="n">
        <v>1</v>
      </c>
      <c r="E567" s="2" t="n">
        <v>550</v>
      </c>
      <c r="F567" s="2" t="n">
        <v>130</v>
      </c>
      <c r="G567" s="2" t="s">
        <v>37</v>
      </c>
      <c r="H567" s="6" t="str">
        <f aca="false">A567&amp;"_"&amp;B567</f>
        <v>jureia_4</v>
      </c>
      <c r="I567" s="6" t="str">
        <f aca="false">H567&amp;"_"&amp;C567&amp;"_"&amp;G567</f>
        <v>jureia_4_115_Tabebuia cassinoides</v>
      </c>
      <c r="J567" s="6" t="n">
        <f aca="false">IF(COUNTIF($I$2:I567,I567)=1,1,0)</f>
        <v>1</v>
      </c>
      <c r="K567" s="6" t="n">
        <f aca="false">E567*$Q$2</f>
        <v>55</v>
      </c>
      <c r="L567" s="7" t="n">
        <f aca="false">K567/PI()</f>
        <v>17.5070437401085</v>
      </c>
      <c r="M567" s="8" t="n">
        <f aca="false">PI()*L567^2/40000</f>
        <v>0.0240721851426492</v>
      </c>
      <c r="N567" s="7" t="n">
        <f aca="false">F567*$Q$3</f>
        <v>13</v>
      </c>
      <c r="O567" s="3"/>
      <c r="P567" s="3"/>
      <c r="Q567" s="3"/>
    </row>
    <row r="568" customFormat="false" ht="15" hidden="false" customHeight="false" outlineLevel="0" collapsed="false">
      <c r="A568" s="2" t="s">
        <v>50</v>
      </c>
      <c r="B568" s="2" t="n">
        <v>4</v>
      </c>
      <c r="C568" s="2" t="n">
        <v>116</v>
      </c>
      <c r="D568" s="2" t="n">
        <v>1</v>
      </c>
      <c r="E568" s="2" t="n">
        <v>620</v>
      </c>
      <c r="F568" s="2" t="n">
        <v>130</v>
      </c>
      <c r="G568" s="2" t="s">
        <v>37</v>
      </c>
      <c r="H568" s="6" t="str">
        <f aca="false">A568&amp;"_"&amp;B568</f>
        <v>jureia_4</v>
      </c>
      <c r="I568" s="6" t="str">
        <f aca="false">H568&amp;"_"&amp;C568&amp;"_"&amp;G568</f>
        <v>jureia_4_116_Tabebuia cassinoides</v>
      </c>
      <c r="J568" s="6" t="n">
        <f aca="false">IF(COUNTIF($I$2:I568,I568)=1,1,0)</f>
        <v>1</v>
      </c>
      <c r="K568" s="6" t="n">
        <f aca="false">E568*$Q$2</f>
        <v>62</v>
      </c>
      <c r="L568" s="7" t="n">
        <f aca="false">K568/PI()</f>
        <v>19.735212943395</v>
      </c>
      <c r="M568" s="8" t="n">
        <f aca="false">PI()*L568^2/40000</f>
        <v>0.0305895800622623</v>
      </c>
      <c r="N568" s="7" t="n">
        <f aca="false">F568*$Q$3</f>
        <v>13</v>
      </c>
      <c r="O568" s="3"/>
      <c r="P568" s="3"/>
      <c r="Q568" s="3"/>
    </row>
    <row r="569" customFormat="false" ht="15" hidden="false" customHeight="false" outlineLevel="0" collapsed="false">
      <c r="A569" s="2" t="s">
        <v>50</v>
      </c>
      <c r="B569" s="2" t="n">
        <v>4</v>
      </c>
      <c r="C569" s="2" t="n">
        <v>117</v>
      </c>
      <c r="D569" s="2" t="n">
        <v>2</v>
      </c>
      <c r="E569" s="2" t="n">
        <v>510</v>
      </c>
      <c r="F569" s="2" t="n">
        <v>130</v>
      </c>
      <c r="G569" s="2" t="s">
        <v>37</v>
      </c>
      <c r="H569" s="6" t="str">
        <f aca="false">A569&amp;"_"&amp;B569</f>
        <v>jureia_4</v>
      </c>
      <c r="I569" s="6" t="str">
        <f aca="false">H569&amp;"_"&amp;C569&amp;"_"&amp;G569</f>
        <v>jureia_4_117_Tabebuia cassinoides</v>
      </c>
      <c r="J569" s="6" t="n">
        <f aca="false">IF(COUNTIF($I$2:I569,I569)=1,1,0)</f>
        <v>1</v>
      </c>
      <c r="K569" s="6" t="n">
        <f aca="false">E569*$Q$2</f>
        <v>51</v>
      </c>
      <c r="L569" s="7" t="n">
        <f aca="false">K569/PI()</f>
        <v>16.2338041953733</v>
      </c>
      <c r="M569" s="8" t="n">
        <f aca="false">PI()*L569^2/40000</f>
        <v>0.020698100349101</v>
      </c>
      <c r="N569" s="7" t="n">
        <f aca="false">F569*$Q$3</f>
        <v>13</v>
      </c>
      <c r="O569" s="3"/>
      <c r="P569" s="3"/>
      <c r="Q569" s="3"/>
    </row>
    <row r="570" customFormat="false" ht="15" hidden="false" customHeight="false" outlineLevel="0" collapsed="false">
      <c r="A570" s="2" t="s">
        <v>50</v>
      </c>
      <c r="B570" s="2" t="n">
        <v>4</v>
      </c>
      <c r="C570" s="2" t="n">
        <v>117</v>
      </c>
      <c r="D570" s="2" t="n">
        <v>1</v>
      </c>
      <c r="E570" s="2" t="n">
        <v>370</v>
      </c>
      <c r="F570" s="2" t="n">
        <v>90</v>
      </c>
      <c r="G570" s="2" t="s">
        <v>44</v>
      </c>
      <c r="H570" s="6" t="str">
        <f aca="false">A570&amp;"_"&amp;B570</f>
        <v>jureia_4</v>
      </c>
      <c r="I570" s="6" t="str">
        <f aca="false">H570&amp;"_"&amp;C570&amp;"_"&amp;G570</f>
        <v>jureia_4_117_Psidium sp</v>
      </c>
      <c r="J570" s="6" t="n">
        <f aca="false">IF(COUNTIF($I$2:I570,I570)=1,1,0)</f>
        <v>1</v>
      </c>
      <c r="K570" s="6" t="n">
        <f aca="false">E570*$Q$2</f>
        <v>37</v>
      </c>
      <c r="L570" s="7" t="n">
        <f aca="false">K570/PI()</f>
        <v>11.7774657888003</v>
      </c>
      <c r="M570" s="8" t="n">
        <f aca="false">PI()*L570^2/40000</f>
        <v>0.0108941558546402</v>
      </c>
      <c r="N570" s="7" t="n">
        <f aca="false">F570*$Q$3</f>
        <v>9</v>
      </c>
      <c r="O570" s="3"/>
      <c r="P570" s="3"/>
      <c r="Q570" s="3"/>
    </row>
    <row r="571" customFormat="false" ht="15" hidden="false" customHeight="false" outlineLevel="0" collapsed="false">
      <c r="A571" s="2" t="s">
        <v>50</v>
      </c>
      <c r="B571" s="2" t="n">
        <v>4</v>
      </c>
      <c r="C571" s="2" t="n">
        <v>118</v>
      </c>
      <c r="D571" s="2" t="n">
        <v>1</v>
      </c>
      <c r="E571" s="2" t="n">
        <v>410</v>
      </c>
      <c r="F571" s="2" t="n">
        <v>70</v>
      </c>
      <c r="G571" s="2" t="s">
        <v>52</v>
      </c>
      <c r="H571" s="6" t="str">
        <f aca="false">A571&amp;"_"&amp;B571</f>
        <v>jureia_4</v>
      </c>
      <c r="I571" s="6" t="str">
        <f aca="false">H571&amp;"_"&amp;C571&amp;"_"&amp;G571</f>
        <v>jureia_4_118_jussara</v>
      </c>
      <c r="J571" s="6" t="n">
        <f aca="false">IF(COUNTIF($I$2:I571,I571)=1,1,0)</f>
        <v>1</v>
      </c>
      <c r="K571" s="6" t="n">
        <f aca="false">E571*$Q$2</f>
        <v>41</v>
      </c>
      <c r="L571" s="7" t="n">
        <f aca="false">K571/PI()</f>
        <v>13.0507053335354</v>
      </c>
      <c r="M571" s="8" t="n">
        <f aca="false">PI()*L571^2/40000</f>
        <v>0.0133769729668738</v>
      </c>
      <c r="N571" s="7" t="n">
        <f aca="false">F571*$Q$3</f>
        <v>7</v>
      </c>
      <c r="O571" s="3"/>
      <c r="P571" s="3"/>
      <c r="Q571" s="3"/>
    </row>
    <row r="572" customFormat="false" ht="15" hidden="false" customHeight="false" outlineLevel="0" collapsed="false">
      <c r="A572" s="2" t="s">
        <v>50</v>
      </c>
      <c r="B572" s="2" t="n">
        <v>4</v>
      </c>
      <c r="C572" s="2" t="n">
        <v>119</v>
      </c>
      <c r="D572" s="2" t="n">
        <v>1</v>
      </c>
      <c r="E572" s="2" t="n">
        <v>330</v>
      </c>
      <c r="F572" s="2" t="n">
        <v>90</v>
      </c>
      <c r="G572" s="2" t="s">
        <v>37</v>
      </c>
      <c r="H572" s="6" t="str">
        <f aca="false">A572&amp;"_"&amp;B572</f>
        <v>jureia_4</v>
      </c>
      <c r="I572" s="6" t="str">
        <f aca="false">H572&amp;"_"&amp;C572&amp;"_"&amp;G572</f>
        <v>jureia_4_119_Tabebuia cassinoides</v>
      </c>
      <c r="J572" s="6" t="n">
        <f aca="false">IF(COUNTIF($I$2:I572,I572)=1,1,0)</f>
        <v>1</v>
      </c>
      <c r="K572" s="6" t="n">
        <f aca="false">E572*$Q$2</f>
        <v>33</v>
      </c>
      <c r="L572" s="7" t="n">
        <f aca="false">K572/PI()</f>
        <v>10.5042262440651</v>
      </c>
      <c r="M572" s="8" t="n">
        <f aca="false">PI()*L572^2/40000</f>
        <v>0.0086659866513537</v>
      </c>
      <c r="N572" s="7" t="n">
        <f aca="false">F572*$Q$3</f>
        <v>9</v>
      </c>
      <c r="O572" s="3"/>
      <c r="P572" s="3"/>
      <c r="Q572" s="3"/>
    </row>
    <row r="573" customFormat="false" ht="15" hidden="false" customHeight="false" outlineLevel="0" collapsed="false">
      <c r="A573" s="2" t="s">
        <v>50</v>
      </c>
      <c r="B573" s="2" t="n">
        <v>4</v>
      </c>
      <c r="C573" s="2" t="n">
        <v>119</v>
      </c>
      <c r="D573" s="2" t="n">
        <v>2</v>
      </c>
      <c r="E573" s="2" t="n">
        <v>480</v>
      </c>
      <c r="F573" s="2" t="n">
        <v>90</v>
      </c>
      <c r="G573" s="2" t="s">
        <v>37</v>
      </c>
      <c r="H573" s="6" t="str">
        <f aca="false">A573&amp;"_"&amp;B573</f>
        <v>jureia_4</v>
      </c>
      <c r="I573" s="6" t="str">
        <f aca="false">H573&amp;"_"&amp;C573&amp;"_"&amp;G573</f>
        <v>jureia_4_119_Tabebuia cassinoides</v>
      </c>
      <c r="J573" s="6" t="n">
        <f aca="false">IF(COUNTIF($I$2:I573,I573)=1,1,0)</f>
        <v>0</v>
      </c>
      <c r="K573" s="6" t="n">
        <f aca="false">E573*$Q$2</f>
        <v>48</v>
      </c>
      <c r="L573" s="7" t="n">
        <f aca="false">K573/PI()</f>
        <v>15.278874536822</v>
      </c>
      <c r="M573" s="8" t="n">
        <f aca="false">PI()*L573^2/40000</f>
        <v>0.0183346494441863</v>
      </c>
      <c r="N573" s="7" t="n">
        <f aca="false">F573*$Q$3</f>
        <v>9</v>
      </c>
      <c r="O573" s="3"/>
      <c r="P573" s="3"/>
      <c r="Q573" s="3"/>
    </row>
    <row r="574" customFormat="false" ht="15" hidden="false" customHeight="false" outlineLevel="0" collapsed="false">
      <c r="A574" s="2" t="s">
        <v>50</v>
      </c>
      <c r="B574" s="2" t="n">
        <v>4</v>
      </c>
      <c r="C574" s="2" t="n">
        <v>120</v>
      </c>
      <c r="D574" s="2" t="n">
        <v>1</v>
      </c>
      <c r="E574" s="2" t="n">
        <v>310</v>
      </c>
      <c r="F574" s="2" t="n">
        <v>110</v>
      </c>
      <c r="G574" s="2" t="s">
        <v>37</v>
      </c>
      <c r="H574" s="6" t="str">
        <f aca="false">A574&amp;"_"&amp;B574</f>
        <v>jureia_4</v>
      </c>
      <c r="I574" s="6" t="str">
        <f aca="false">H574&amp;"_"&amp;C574&amp;"_"&amp;G574</f>
        <v>jureia_4_120_Tabebuia cassinoides</v>
      </c>
      <c r="J574" s="6" t="n">
        <f aca="false">IF(COUNTIF($I$2:I574,I574)=1,1,0)</f>
        <v>1</v>
      </c>
      <c r="K574" s="6" t="n">
        <f aca="false">E574*$Q$2</f>
        <v>31</v>
      </c>
      <c r="L574" s="7" t="n">
        <f aca="false">K574/PI()</f>
        <v>9.86760647169751</v>
      </c>
      <c r="M574" s="8" t="n">
        <f aca="false">PI()*L574^2/40000</f>
        <v>0.00764739501556557</v>
      </c>
      <c r="N574" s="7" t="n">
        <f aca="false">F574*$Q$3</f>
        <v>11</v>
      </c>
      <c r="O574" s="3"/>
      <c r="P574" s="3"/>
      <c r="Q574" s="3"/>
    </row>
    <row r="575" customFormat="false" ht="15" hidden="false" customHeight="false" outlineLevel="0" collapsed="false">
      <c r="A575" s="2" t="s">
        <v>50</v>
      </c>
      <c r="B575" s="2" t="n">
        <v>4</v>
      </c>
      <c r="C575" s="2" t="n">
        <v>120</v>
      </c>
      <c r="D575" s="2" t="n">
        <v>2</v>
      </c>
      <c r="E575" s="2" t="n">
        <v>590</v>
      </c>
      <c r="F575" s="2" t="n">
        <v>110</v>
      </c>
      <c r="G575" s="2" t="s">
        <v>37</v>
      </c>
      <c r="H575" s="6" t="str">
        <f aca="false">A575&amp;"_"&amp;B575</f>
        <v>jureia_4</v>
      </c>
      <c r="I575" s="6" t="str">
        <f aca="false">H575&amp;"_"&amp;C575&amp;"_"&amp;G575</f>
        <v>jureia_4_120_Tabebuia cassinoides</v>
      </c>
      <c r="J575" s="6" t="n">
        <f aca="false">IF(COUNTIF($I$2:I575,I575)=1,1,0)</f>
        <v>0</v>
      </c>
      <c r="K575" s="6" t="n">
        <f aca="false">E575*$Q$2</f>
        <v>59</v>
      </c>
      <c r="L575" s="7" t="n">
        <f aca="false">K575/PI()</f>
        <v>18.7802832848437</v>
      </c>
      <c r="M575" s="8" t="n">
        <f aca="false">PI()*L575^2/40000</f>
        <v>0.0277009178451444</v>
      </c>
      <c r="N575" s="7" t="n">
        <f aca="false">F575*$Q$3</f>
        <v>11</v>
      </c>
      <c r="O575" s="3"/>
      <c r="P575" s="3"/>
      <c r="Q575" s="3"/>
    </row>
    <row r="576" customFormat="false" ht="15" hidden="false" customHeight="false" outlineLevel="0" collapsed="false">
      <c r="A576" s="2" t="s">
        <v>50</v>
      </c>
      <c r="B576" s="2" t="n">
        <v>4</v>
      </c>
      <c r="C576" s="2" t="n">
        <v>121</v>
      </c>
      <c r="D576" s="2" t="n">
        <v>1</v>
      </c>
      <c r="E576" s="2" t="n">
        <v>210</v>
      </c>
      <c r="F576" s="2" t="n">
        <v>60</v>
      </c>
      <c r="G576" s="2" t="s">
        <v>37</v>
      </c>
      <c r="H576" s="6" t="str">
        <f aca="false">A576&amp;"_"&amp;B576</f>
        <v>jureia_4</v>
      </c>
      <c r="I576" s="6" t="str">
        <f aca="false">H576&amp;"_"&amp;C576&amp;"_"&amp;G576</f>
        <v>jureia_4_121_Tabebuia cassinoides</v>
      </c>
      <c r="J576" s="6" t="n">
        <f aca="false">IF(COUNTIF($I$2:I576,I576)=1,1,0)</f>
        <v>1</v>
      </c>
      <c r="K576" s="6" t="n">
        <f aca="false">E576*$Q$2</f>
        <v>21</v>
      </c>
      <c r="L576" s="7" t="n">
        <f aca="false">K576/PI()</f>
        <v>6.68450760985961</v>
      </c>
      <c r="M576" s="8" t="n">
        <f aca="false">PI()*L576^2/40000</f>
        <v>0.00350936649517629</v>
      </c>
      <c r="N576" s="7" t="n">
        <f aca="false">F576*$Q$3</f>
        <v>6</v>
      </c>
      <c r="O576" s="3"/>
      <c r="P576" s="3"/>
      <c r="Q576" s="3"/>
    </row>
    <row r="577" customFormat="false" ht="15" hidden="false" customHeight="false" outlineLevel="0" collapsed="false">
      <c r="A577" s="2" t="s">
        <v>50</v>
      </c>
      <c r="B577" s="2" t="n">
        <v>4</v>
      </c>
      <c r="C577" s="2" t="n">
        <v>121</v>
      </c>
      <c r="D577" s="2" t="n">
        <v>1</v>
      </c>
      <c r="E577" s="2" t="n">
        <v>270</v>
      </c>
      <c r="F577" s="2" t="n">
        <v>60</v>
      </c>
      <c r="G577" s="2" t="s">
        <v>37</v>
      </c>
      <c r="H577" s="6" t="str">
        <f aca="false">A577&amp;"_"&amp;B577</f>
        <v>jureia_4</v>
      </c>
      <c r="I577" s="6" t="str">
        <f aca="false">H577&amp;"_"&amp;C577&amp;"_"&amp;G577</f>
        <v>jureia_4_121_Tabebuia cassinoides</v>
      </c>
      <c r="J577" s="6" t="n">
        <f aca="false">IF(COUNTIF($I$2:I577,I577)=1,1,0)</f>
        <v>0</v>
      </c>
      <c r="K577" s="6" t="n">
        <f aca="false">E577*$Q$2</f>
        <v>27</v>
      </c>
      <c r="L577" s="7" t="n">
        <f aca="false">K577/PI()</f>
        <v>8.59436692696235</v>
      </c>
      <c r="M577" s="8" t="n">
        <f aca="false">PI()*L577^2/40000</f>
        <v>0.00580119767569958</v>
      </c>
      <c r="N577" s="7" t="n">
        <f aca="false">F577*$Q$3</f>
        <v>6</v>
      </c>
      <c r="O577" s="3"/>
      <c r="P577" s="3"/>
      <c r="Q577" s="3"/>
    </row>
    <row r="578" customFormat="false" ht="15" hidden="false" customHeight="false" outlineLevel="0" collapsed="false">
      <c r="A578" s="2" t="s">
        <v>50</v>
      </c>
      <c r="B578" s="2" t="n">
        <v>4</v>
      </c>
      <c r="C578" s="2" t="n">
        <v>122</v>
      </c>
      <c r="D578" s="2" t="n">
        <v>1</v>
      </c>
      <c r="E578" s="2" t="n">
        <v>300</v>
      </c>
      <c r="F578" s="2" t="n">
        <v>70</v>
      </c>
      <c r="G578" s="2" t="s">
        <v>37</v>
      </c>
      <c r="H578" s="6" t="str">
        <f aca="false">A578&amp;"_"&amp;B578</f>
        <v>jureia_4</v>
      </c>
      <c r="I578" s="6" t="str">
        <f aca="false">H578&amp;"_"&amp;C578&amp;"_"&amp;G578</f>
        <v>jureia_4_122_Tabebuia cassinoides</v>
      </c>
      <c r="J578" s="6" t="n">
        <f aca="false">IF(COUNTIF($I$2:I578,I578)=1,1,0)</f>
        <v>1</v>
      </c>
      <c r="K578" s="6" t="n">
        <f aca="false">E578*$Q$2</f>
        <v>30</v>
      </c>
      <c r="L578" s="7" t="n">
        <f aca="false">K578/PI()</f>
        <v>9.54929658551372</v>
      </c>
      <c r="M578" s="8" t="n">
        <f aca="false">PI()*L578^2/40000</f>
        <v>0.00716197243913529</v>
      </c>
      <c r="N578" s="7" t="n">
        <f aca="false">F578*$Q$3</f>
        <v>7</v>
      </c>
      <c r="O578" s="3"/>
      <c r="P578" s="3"/>
      <c r="Q578" s="3"/>
    </row>
    <row r="579" customFormat="false" ht="15" hidden="false" customHeight="false" outlineLevel="0" collapsed="false">
      <c r="A579" s="2" t="s">
        <v>50</v>
      </c>
      <c r="B579" s="2" t="n">
        <v>4</v>
      </c>
      <c r="C579" s="2" t="n">
        <v>123</v>
      </c>
      <c r="D579" s="2" t="n">
        <v>1</v>
      </c>
      <c r="E579" s="2" t="n">
        <v>220</v>
      </c>
      <c r="F579" s="2" t="n">
        <v>60</v>
      </c>
      <c r="G579" s="2" t="s">
        <v>37</v>
      </c>
      <c r="H579" s="6" t="str">
        <f aca="false">A579&amp;"_"&amp;B579</f>
        <v>jureia_4</v>
      </c>
      <c r="I579" s="6" t="str">
        <f aca="false">H579&amp;"_"&amp;C579&amp;"_"&amp;G579</f>
        <v>jureia_4_123_Tabebuia cassinoides</v>
      </c>
      <c r="J579" s="6" t="n">
        <f aca="false">IF(COUNTIF($I$2:I579,I579)=1,1,0)</f>
        <v>1</v>
      </c>
      <c r="K579" s="6" t="n">
        <f aca="false">E579*$Q$2</f>
        <v>22</v>
      </c>
      <c r="L579" s="7" t="n">
        <f aca="false">K579/PI()</f>
        <v>7.0028174960434</v>
      </c>
      <c r="M579" s="8" t="n">
        <f aca="false">PI()*L579^2/40000</f>
        <v>0.00385154962282387</v>
      </c>
      <c r="N579" s="7" t="n">
        <f aca="false">F579*$Q$3</f>
        <v>6</v>
      </c>
      <c r="O579" s="3"/>
      <c r="P579" s="3"/>
      <c r="Q579" s="3"/>
    </row>
    <row r="580" customFormat="false" ht="15" hidden="false" customHeight="false" outlineLevel="0" collapsed="false">
      <c r="A580" s="2" t="s">
        <v>50</v>
      </c>
      <c r="B580" s="2" t="n">
        <v>4</v>
      </c>
      <c r="C580" s="2" t="n">
        <v>124</v>
      </c>
      <c r="D580" s="2" t="n">
        <v>1</v>
      </c>
      <c r="E580" s="2" t="n">
        <v>600</v>
      </c>
      <c r="F580" s="2" t="n">
        <v>140</v>
      </c>
      <c r="G580" s="2" t="s">
        <v>37</v>
      </c>
      <c r="H580" s="6" t="str">
        <f aca="false">A580&amp;"_"&amp;B580</f>
        <v>jureia_4</v>
      </c>
      <c r="I580" s="6" t="str">
        <f aca="false">H580&amp;"_"&amp;C580&amp;"_"&amp;G580</f>
        <v>jureia_4_124_Tabebuia cassinoides</v>
      </c>
      <c r="J580" s="6" t="n">
        <f aca="false">IF(COUNTIF($I$2:I580,I580)=1,1,0)</f>
        <v>1</v>
      </c>
      <c r="K580" s="6" t="n">
        <f aca="false">E580*$Q$2</f>
        <v>60</v>
      </c>
      <c r="L580" s="7" t="n">
        <f aca="false">K580/PI()</f>
        <v>19.0985931710274</v>
      </c>
      <c r="M580" s="8" t="n">
        <f aca="false">PI()*L580^2/40000</f>
        <v>0.0286478897565412</v>
      </c>
      <c r="N580" s="7" t="n">
        <f aca="false">F580*$Q$3</f>
        <v>14</v>
      </c>
      <c r="O580" s="3"/>
      <c r="P580" s="3"/>
      <c r="Q580" s="3"/>
    </row>
    <row r="581" customFormat="false" ht="15" hidden="false" customHeight="false" outlineLevel="0" collapsed="false">
      <c r="A581" s="2" t="s">
        <v>50</v>
      </c>
      <c r="B581" s="2" t="n">
        <v>4</v>
      </c>
      <c r="C581" s="2" t="n">
        <v>125</v>
      </c>
      <c r="D581" s="2" t="n">
        <v>1</v>
      </c>
      <c r="E581" s="2" t="n">
        <v>470</v>
      </c>
      <c r="F581" s="2" t="n">
        <v>120</v>
      </c>
      <c r="G581" s="2" t="s">
        <v>37</v>
      </c>
      <c r="H581" s="6" t="str">
        <f aca="false">A581&amp;"_"&amp;B581</f>
        <v>jureia_4</v>
      </c>
      <c r="I581" s="6" t="str">
        <f aca="false">H581&amp;"_"&amp;C581&amp;"_"&amp;G581</f>
        <v>jureia_4_125_Tabebuia cassinoides</v>
      </c>
      <c r="J581" s="6" t="n">
        <f aca="false">IF(COUNTIF($I$2:I581,I581)=1,1,0)</f>
        <v>1</v>
      </c>
      <c r="K581" s="6" t="n">
        <f aca="false">E581*$Q$2</f>
        <v>47</v>
      </c>
      <c r="L581" s="7" t="n">
        <f aca="false">K581/PI()</f>
        <v>14.9605646506382</v>
      </c>
      <c r="M581" s="8" t="n">
        <f aca="false">PI()*L581^2/40000</f>
        <v>0.0175786634644998</v>
      </c>
      <c r="N581" s="7" t="n">
        <f aca="false">F581*$Q$3</f>
        <v>12</v>
      </c>
      <c r="O581" s="3"/>
      <c r="P581" s="3"/>
      <c r="Q581" s="3"/>
    </row>
    <row r="582" customFormat="false" ht="15" hidden="false" customHeight="false" outlineLevel="0" collapsed="false">
      <c r="A582" s="2" t="s">
        <v>50</v>
      </c>
      <c r="B582" s="2" t="n">
        <v>4</v>
      </c>
      <c r="C582" s="2" t="n">
        <v>125</v>
      </c>
      <c r="D582" s="2" t="n">
        <v>2</v>
      </c>
      <c r="E582" s="2" t="n">
        <v>290</v>
      </c>
      <c r="F582" s="2" t="n">
        <v>120</v>
      </c>
      <c r="G582" s="2" t="s">
        <v>37</v>
      </c>
      <c r="H582" s="6" t="str">
        <f aca="false">A582&amp;"_"&amp;B582</f>
        <v>jureia_4</v>
      </c>
      <c r="I582" s="6" t="str">
        <f aca="false">H582&amp;"_"&amp;C582&amp;"_"&amp;G582</f>
        <v>jureia_4_125_Tabebuia cassinoides</v>
      </c>
      <c r="J582" s="6" t="n">
        <f aca="false">IF(COUNTIF($I$2:I582,I582)=1,1,0)</f>
        <v>0</v>
      </c>
      <c r="K582" s="6" t="n">
        <f aca="false">E582*$Q$2</f>
        <v>29</v>
      </c>
      <c r="L582" s="7" t="n">
        <f aca="false">K582/PI()</f>
        <v>9.23098669932993</v>
      </c>
      <c r="M582" s="8" t="n">
        <f aca="false">PI()*L582^2/40000</f>
        <v>0.0066924653570142</v>
      </c>
      <c r="N582" s="7" t="n">
        <f aca="false">F582*$Q$3</f>
        <v>12</v>
      </c>
      <c r="O582" s="3"/>
      <c r="P582" s="3"/>
      <c r="Q582" s="3"/>
    </row>
    <row r="583" customFormat="false" ht="15" hidden="false" customHeight="false" outlineLevel="0" collapsed="false">
      <c r="A583" s="2" t="s">
        <v>50</v>
      </c>
      <c r="B583" s="2" t="n">
        <v>4</v>
      </c>
      <c r="C583" s="2" t="n">
        <v>126</v>
      </c>
      <c r="D583" s="2" t="n">
        <v>1</v>
      </c>
      <c r="E583" s="2" t="n">
        <v>420</v>
      </c>
      <c r="F583" s="2" t="n">
        <v>100</v>
      </c>
      <c r="G583" s="2" t="s">
        <v>37</v>
      </c>
      <c r="H583" s="6" t="str">
        <f aca="false">A583&amp;"_"&amp;B583</f>
        <v>jureia_4</v>
      </c>
      <c r="I583" s="6" t="str">
        <f aca="false">H583&amp;"_"&amp;C583&amp;"_"&amp;G583</f>
        <v>jureia_4_126_Tabebuia cassinoides</v>
      </c>
      <c r="J583" s="6" t="n">
        <f aca="false">IF(COUNTIF($I$2:I583,I583)=1,1,0)</f>
        <v>1</v>
      </c>
      <c r="K583" s="6" t="n">
        <f aca="false">E583*$Q$2</f>
        <v>42</v>
      </c>
      <c r="L583" s="7" t="n">
        <f aca="false">K583/PI()</f>
        <v>13.3690152197192</v>
      </c>
      <c r="M583" s="8" t="n">
        <f aca="false">PI()*L583^2/40000</f>
        <v>0.0140374659807052</v>
      </c>
      <c r="N583" s="7" t="n">
        <f aca="false">F583*$Q$3</f>
        <v>10</v>
      </c>
      <c r="O583" s="3"/>
      <c r="P583" s="3"/>
      <c r="Q583" s="3"/>
    </row>
    <row r="584" customFormat="false" ht="15" hidden="false" customHeight="false" outlineLevel="0" collapsed="false">
      <c r="A584" s="2" t="s">
        <v>50</v>
      </c>
      <c r="B584" s="2" t="n">
        <v>4</v>
      </c>
      <c r="C584" s="2" t="n">
        <v>127</v>
      </c>
      <c r="D584" s="2" t="n">
        <v>1</v>
      </c>
      <c r="E584" s="2" t="n">
        <v>240</v>
      </c>
      <c r="F584" s="2" t="n">
        <v>70</v>
      </c>
      <c r="G584" s="2" t="s">
        <v>37</v>
      </c>
      <c r="H584" s="6" t="str">
        <f aca="false">A584&amp;"_"&amp;B584</f>
        <v>jureia_4</v>
      </c>
      <c r="I584" s="6" t="str">
        <f aca="false">H584&amp;"_"&amp;C584&amp;"_"&amp;G584</f>
        <v>jureia_4_127_Tabebuia cassinoides</v>
      </c>
      <c r="J584" s="6" t="n">
        <f aca="false">IF(COUNTIF($I$2:I584,I584)=1,1,0)</f>
        <v>1</v>
      </c>
      <c r="K584" s="6" t="n">
        <f aca="false">E584*$Q$2</f>
        <v>24</v>
      </c>
      <c r="L584" s="7" t="n">
        <f aca="false">K584/PI()</f>
        <v>7.63943726841098</v>
      </c>
      <c r="M584" s="8" t="n">
        <f aca="false">PI()*L584^2/40000</f>
        <v>0.00458366236104659</v>
      </c>
      <c r="N584" s="7" t="n">
        <f aca="false">F584*$Q$3</f>
        <v>7</v>
      </c>
      <c r="O584" s="3"/>
      <c r="P584" s="3"/>
      <c r="Q584" s="3"/>
    </row>
    <row r="585" customFormat="false" ht="15" hidden="false" customHeight="false" outlineLevel="0" collapsed="false">
      <c r="A585" s="2" t="s">
        <v>50</v>
      </c>
      <c r="B585" s="2" t="n">
        <v>4</v>
      </c>
      <c r="C585" s="2" t="n">
        <v>128</v>
      </c>
      <c r="D585" s="2" t="n">
        <v>1</v>
      </c>
      <c r="E585" s="2" t="n">
        <v>530</v>
      </c>
      <c r="F585" s="2" t="n">
        <v>130</v>
      </c>
      <c r="G585" s="2" t="s">
        <v>37</v>
      </c>
      <c r="H585" s="6" t="str">
        <f aca="false">A585&amp;"_"&amp;B585</f>
        <v>jureia_4</v>
      </c>
      <c r="I585" s="6" t="str">
        <f aca="false">H585&amp;"_"&amp;C585&amp;"_"&amp;G585</f>
        <v>jureia_4_128_Tabebuia cassinoides</v>
      </c>
      <c r="J585" s="6" t="n">
        <f aca="false">IF(COUNTIF($I$2:I585,I585)=1,1,0)</f>
        <v>1</v>
      </c>
      <c r="K585" s="6" t="n">
        <f aca="false">E585*$Q$2</f>
        <v>53</v>
      </c>
      <c r="L585" s="7" t="n">
        <f aca="false">K585/PI()</f>
        <v>16.8704239677409</v>
      </c>
      <c r="M585" s="8" t="n">
        <f aca="false">PI()*L585^2/40000</f>
        <v>0.0223533117572567</v>
      </c>
      <c r="N585" s="7" t="n">
        <f aca="false">F585*$Q$3</f>
        <v>13</v>
      </c>
      <c r="O585" s="3"/>
      <c r="P585" s="3"/>
      <c r="Q585" s="3"/>
    </row>
    <row r="586" customFormat="false" ht="15" hidden="false" customHeight="false" outlineLevel="0" collapsed="false">
      <c r="A586" s="2" t="s">
        <v>50</v>
      </c>
      <c r="B586" s="2" t="n">
        <v>4</v>
      </c>
      <c r="C586" s="2" t="n">
        <v>129</v>
      </c>
      <c r="D586" s="2" t="n">
        <v>1</v>
      </c>
      <c r="E586" s="2" t="n">
        <v>380</v>
      </c>
      <c r="F586" s="2" t="n">
        <v>80</v>
      </c>
      <c r="G586" s="2" t="s">
        <v>66</v>
      </c>
      <c r="H586" s="6" t="str">
        <f aca="false">A586&amp;"_"&amp;B586</f>
        <v>jureia_4</v>
      </c>
      <c r="I586" s="6" t="str">
        <f aca="false">H586&amp;"_"&amp;C586&amp;"_"&amp;G586</f>
        <v>jureia_4_129_Inga sp</v>
      </c>
      <c r="J586" s="6" t="n">
        <f aca="false">IF(COUNTIF($I$2:I586,I586)=1,1,0)</f>
        <v>1</v>
      </c>
      <c r="K586" s="6" t="n">
        <f aca="false">E586*$Q$2</f>
        <v>38</v>
      </c>
      <c r="L586" s="7" t="n">
        <f aca="false">K586/PI()</f>
        <v>12.095775674984</v>
      </c>
      <c r="M586" s="8" t="n">
        <f aca="false">PI()*L586^2/40000</f>
        <v>0.0114909868912348</v>
      </c>
      <c r="N586" s="7" t="n">
        <f aca="false">F586*$Q$3</f>
        <v>8</v>
      </c>
      <c r="O586" s="3"/>
      <c r="P586" s="3"/>
      <c r="Q586" s="3"/>
    </row>
    <row r="587" customFormat="false" ht="15" hidden="false" customHeight="false" outlineLevel="0" collapsed="false">
      <c r="A587" s="2" t="s">
        <v>50</v>
      </c>
      <c r="B587" s="2" t="n">
        <v>4</v>
      </c>
      <c r="C587" s="2" t="n">
        <v>130</v>
      </c>
      <c r="D587" s="2" t="n">
        <v>1</v>
      </c>
      <c r="E587" s="2" t="n">
        <v>290</v>
      </c>
      <c r="F587" s="2" t="n">
        <v>90</v>
      </c>
      <c r="G587" s="2" t="s">
        <v>68</v>
      </c>
      <c r="H587" s="6" t="str">
        <f aca="false">A587&amp;"_"&amp;B587</f>
        <v>jureia_4</v>
      </c>
      <c r="I587" s="6" t="str">
        <f aca="false">H587&amp;"_"&amp;C587&amp;"_"&amp;G587</f>
        <v>jureia_4_130_Simplocos sp</v>
      </c>
      <c r="J587" s="6" t="n">
        <f aca="false">IF(COUNTIF($I$2:I587,I587)=1,1,0)</f>
        <v>1</v>
      </c>
      <c r="K587" s="6" t="n">
        <f aca="false">E587*$Q$2</f>
        <v>29</v>
      </c>
      <c r="L587" s="7" t="n">
        <f aca="false">K587/PI()</f>
        <v>9.23098669932993</v>
      </c>
      <c r="M587" s="8" t="n">
        <f aca="false">PI()*L587^2/40000</f>
        <v>0.0066924653570142</v>
      </c>
      <c r="N587" s="7" t="n">
        <f aca="false">F587*$Q$3</f>
        <v>9</v>
      </c>
      <c r="O587" s="3"/>
      <c r="P587" s="3"/>
      <c r="Q587" s="3"/>
    </row>
    <row r="588" customFormat="false" ht="15" hidden="false" customHeight="false" outlineLevel="0" collapsed="false">
      <c r="A588" s="2" t="s">
        <v>50</v>
      </c>
      <c r="B588" s="2" t="n">
        <v>4</v>
      </c>
      <c r="C588" s="2" t="n">
        <v>131</v>
      </c>
      <c r="D588" s="2" t="n">
        <v>1</v>
      </c>
      <c r="E588" s="2" t="n">
        <v>390</v>
      </c>
      <c r="F588" s="2" t="n">
        <v>110</v>
      </c>
      <c r="G588" s="2" t="s">
        <v>37</v>
      </c>
      <c r="H588" s="6" t="str">
        <f aca="false">A588&amp;"_"&amp;B588</f>
        <v>jureia_4</v>
      </c>
      <c r="I588" s="6" t="str">
        <f aca="false">H588&amp;"_"&amp;C588&amp;"_"&amp;G588</f>
        <v>jureia_4_131_Tabebuia cassinoides</v>
      </c>
      <c r="J588" s="6" t="n">
        <f aca="false">IF(COUNTIF($I$2:I588,I588)=1,1,0)</f>
        <v>1</v>
      </c>
      <c r="K588" s="6" t="n">
        <f aca="false">E588*$Q$2</f>
        <v>39</v>
      </c>
      <c r="L588" s="7" t="n">
        <f aca="false">K588/PI()</f>
        <v>12.4140855611678</v>
      </c>
      <c r="M588" s="8" t="n">
        <f aca="false">PI()*L588^2/40000</f>
        <v>0.0121037334221386</v>
      </c>
      <c r="N588" s="7" t="n">
        <f aca="false">F588*$Q$3</f>
        <v>11</v>
      </c>
      <c r="O588" s="3"/>
      <c r="P588" s="3"/>
      <c r="Q588" s="3"/>
    </row>
    <row r="589" customFormat="false" ht="15" hidden="false" customHeight="false" outlineLevel="0" collapsed="false">
      <c r="A589" s="2" t="s">
        <v>50</v>
      </c>
      <c r="B589" s="2" t="n">
        <v>5</v>
      </c>
      <c r="C589" s="2" t="n">
        <v>131</v>
      </c>
      <c r="D589" s="2" t="n">
        <v>1</v>
      </c>
      <c r="E589" s="2" t="n">
        <v>360</v>
      </c>
      <c r="F589" s="2" t="n">
        <v>110</v>
      </c>
      <c r="G589" s="2" t="s">
        <v>37</v>
      </c>
      <c r="H589" s="6" t="str">
        <f aca="false">A589&amp;"_"&amp;B589</f>
        <v>jureia_5</v>
      </c>
      <c r="I589" s="6" t="str">
        <f aca="false">H589&amp;"_"&amp;C589&amp;"_"&amp;G589</f>
        <v>jureia_5_131_Tabebuia cassinoides</v>
      </c>
      <c r="J589" s="6" t="n">
        <f aca="false">IF(COUNTIF($I$2:I589,I589)=1,1,0)</f>
        <v>1</v>
      </c>
      <c r="K589" s="6" t="n">
        <f aca="false">E589*$Q$2</f>
        <v>36</v>
      </c>
      <c r="L589" s="7" t="n">
        <f aca="false">K589/PI()</f>
        <v>11.4591559026165</v>
      </c>
      <c r="M589" s="8" t="n">
        <f aca="false">PI()*L589^2/40000</f>
        <v>0.0103132403123548</v>
      </c>
      <c r="N589" s="7" t="n">
        <f aca="false">F589*$Q$3</f>
        <v>11</v>
      </c>
      <c r="O589" s="3"/>
      <c r="P589" s="3"/>
      <c r="Q589" s="3"/>
    </row>
    <row r="590" customFormat="false" ht="15" hidden="false" customHeight="false" outlineLevel="0" collapsed="false">
      <c r="A590" s="2" t="s">
        <v>50</v>
      </c>
      <c r="B590" s="2" t="n">
        <v>5</v>
      </c>
      <c r="C590" s="2" t="n">
        <v>132</v>
      </c>
      <c r="D590" s="2" t="n">
        <v>1</v>
      </c>
      <c r="E590" s="2" t="n">
        <v>290</v>
      </c>
      <c r="F590" s="2" t="n">
        <v>120</v>
      </c>
      <c r="G590" s="2" t="s">
        <v>37</v>
      </c>
      <c r="H590" s="6" t="str">
        <f aca="false">A590&amp;"_"&amp;B590</f>
        <v>jureia_5</v>
      </c>
      <c r="I590" s="6" t="str">
        <f aca="false">H590&amp;"_"&amp;C590&amp;"_"&amp;G590</f>
        <v>jureia_5_132_Tabebuia cassinoides</v>
      </c>
      <c r="J590" s="6" t="n">
        <f aca="false">IF(COUNTIF($I$2:I590,I590)=1,1,0)</f>
        <v>1</v>
      </c>
      <c r="K590" s="6" t="n">
        <f aca="false">E590*$Q$2</f>
        <v>29</v>
      </c>
      <c r="L590" s="7" t="n">
        <f aca="false">K590/PI()</f>
        <v>9.23098669932993</v>
      </c>
      <c r="M590" s="8" t="n">
        <f aca="false">PI()*L590^2/40000</f>
        <v>0.0066924653570142</v>
      </c>
      <c r="N590" s="7" t="n">
        <f aca="false">F590*$Q$3</f>
        <v>12</v>
      </c>
      <c r="O590" s="3"/>
      <c r="P590" s="3"/>
      <c r="Q590" s="3"/>
    </row>
    <row r="591" customFormat="false" ht="15" hidden="false" customHeight="false" outlineLevel="0" collapsed="false">
      <c r="A591" s="2" t="s">
        <v>50</v>
      </c>
      <c r="B591" s="2" t="n">
        <v>5</v>
      </c>
      <c r="C591" s="2" t="n">
        <v>132</v>
      </c>
      <c r="D591" s="2" t="n">
        <v>2</v>
      </c>
      <c r="E591" s="2" t="n">
        <v>420</v>
      </c>
      <c r="F591" s="2" t="n">
        <v>120</v>
      </c>
      <c r="G591" s="2" t="s">
        <v>37</v>
      </c>
      <c r="H591" s="6" t="str">
        <f aca="false">A591&amp;"_"&amp;B591</f>
        <v>jureia_5</v>
      </c>
      <c r="I591" s="6" t="str">
        <f aca="false">H591&amp;"_"&amp;C591&amp;"_"&amp;G591</f>
        <v>jureia_5_132_Tabebuia cassinoides</v>
      </c>
      <c r="J591" s="6" t="n">
        <f aca="false">IF(COUNTIF($I$2:I591,I591)=1,1,0)</f>
        <v>0</v>
      </c>
      <c r="K591" s="6" t="n">
        <f aca="false">E591*$Q$2</f>
        <v>42</v>
      </c>
      <c r="L591" s="7" t="n">
        <f aca="false">K591/PI()</f>
        <v>13.3690152197192</v>
      </c>
      <c r="M591" s="8" t="n">
        <f aca="false">PI()*L591^2/40000</f>
        <v>0.0140374659807052</v>
      </c>
      <c r="N591" s="7" t="n">
        <f aca="false">F591*$Q$3</f>
        <v>12</v>
      </c>
      <c r="O591" s="3"/>
      <c r="P591" s="3"/>
      <c r="Q591" s="3"/>
    </row>
    <row r="592" customFormat="false" ht="15" hidden="false" customHeight="false" outlineLevel="0" collapsed="false">
      <c r="A592" s="2" t="s">
        <v>50</v>
      </c>
      <c r="B592" s="2" t="n">
        <v>5</v>
      </c>
      <c r="C592" s="2" t="n">
        <v>133</v>
      </c>
      <c r="D592" s="2" t="n">
        <v>1</v>
      </c>
      <c r="E592" s="2" t="n">
        <v>220</v>
      </c>
      <c r="F592" s="2" t="n">
        <v>80</v>
      </c>
      <c r="G592" s="2" t="s">
        <v>37</v>
      </c>
      <c r="H592" s="6" t="str">
        <f aca="false">A592&amp;"_"&amp;B592</f>
        <v>jureia_5</v>
      </c>
      <c r="I592" s="6" t="str">
        <f aca="false">H592&amp;"_"&amp;C592&amp;"_"&amp;G592</f>
        <v>jureia_5_133_Tabebuia cassinoides</v>
      </c>
      <c r="J592" s="6" t="n">
        <f aca="false">IF(COUNTIF($I$2:I592,I592)=1,1,0)</f>
        <v>1</v>
      </c>
      <c r="K592" s="6" t="n">
        <f aca="false">E592*$Q$2</f>
        <v>22</v>
      </c>
      <c r="L592" s="7" t="n">
        <f aca="false">K592/PI()</f>
        <v>7.0028174960434</v>
      </c>
      <c r="M592" s="8" t="n">
        <f aca="false">PI()*L592^2/40000</f>
        <v>0.00385154962282387</v>
      </c>
      <c r="N592" s="7" t="n">
        <f aca="false">F592*$Q$3</f>
        <v>8</v>
      </c>
      <c r="O592" s="3"/>
      <c r="P592" s="3"/>
      <c r="Q592" s="3"/>
    </row>
    <row r="593" customFormat="false" ht="15" hidden="false" customHeight="false" outlineLevel="0" collapsed="false">
      <c r="A593" s="2" t="s">
        <v>50</v>
      </c>
      <c r="B593" s="2" t="n">
        <v>5</v>
      </c>
      <c r="C593" s="2" t="n">
        <v>134</v>
      </c>
      <c r="D593" s="2" t="n">
        <v>1</v>
      </c>
      <c r="E593" s="2" t="n">
        <v>500</v>
      </c>
      <c r="F593" s="2" t="n">
        <v>120</v>
      </c>
      <c r="G593" s="2" t="s">
        <v>37</v>
      </c>
      <c r="H593" s="6" t="str">
        <f aca="false">A593&amp;"_"&amp;B593</f>
        <v>jureia_5</v>
      </c>
      <c r="I593" s="6" t="str">
        <f aca="false">H593&amp;"_"&amp;C593&amp;"_"&amp;G593</f>
        <v>jureia_5_134_Tabebuia cassinoides</v>
      </c>
      <c r="J593" s="6" t="n">
        <f aca="false">IF(COUNTIF($I$2:I593,I593)=1,1,0)</f>
        <v>1</v>
      </c>
      <c r="K593" s="6" t="n">
        <f aca="false">E593*$Q$2</f>
        <v>50</v>
      </c>
      <c r="L593" s="7" t="n">
        <f aca="false">K593/PI()</f>
        <v>15.9154943091895</v>
      </c>
      <c r="M593" s="8" t="n">
        <f aca="false">PI()*L593^2/40000</f>
        <v>0.0198943678864869</v>
      </c>
      <c r="N593" s="7" t="n">
        <f aca="false">F593*$Q$3</f>
        <v>12</v>
      </c>
      <c r="O593" s="3"/>
      <c r="P593" s="3"/>
      <c r="Q593" s="3"/>
    </row>
    <row r="594" customFormat="false" ht="15" hidden="false" customHeight="false" outlineLevel="0" collapsed="false">
      <c r="A594" s="2" t="s">
        <v>50</v>
      </c>
      <c r="B594" s="2" t="n">
        <v>5</v>
      </c>
      <c r="C594" s="2" t="n">
        <v>135</v>
      </c>
      <c r="D594" s="2" t="n">
        <v>1</v>
      </c>
      <c r="E594" s="2" t="n">
        <v>160</v>
      </c>
      <c r="F594" s="2" t="n">
        <v>100</v>
      </c>
      <c r="G594" s="2" t="s">
        <v>44</v>
      </c>
      <c r="H594" s="6" t="str">
        <f aca="false">A594&amp;"_"&amp;B594</f>
        <v>jureia_5</v>
      </c>
      <c r="I594" s="6" t="str">
        <f aca="false">H594&amp;"_"&amp;C594&amp;"_"&amp;G594</f>
        <v>jureia_5_135_Psidium sp</v>
      </c>
      <c r="J594" s="6" t="n">
        <f aca="false">IF(COUNTIF($I$2:I594,I594)=1,1,0)</f>
        <v>1</v>
      </c>
      <c r="K594" s="6" t="n">
        <f aca="false">E594*$Q$2</f>
        <v>16</v>
      </c>
      <c r="L594" s="7" t="n">
        <f aca="false">K594/PI()</f>
        <v>5.09295817894065</v>
      </c>
      <c r="M594" s="8" t="n">
        <f aca="false">PI()*L594^2/40000</f>
        <v>0.00203718327157626</v>
      </c>
      <c r="N594" s="7" t="n">
        <f aca="false">F594*$Q$3</f>
        <v>10</v>
      </c>
      <c r="O594" s="3"/>
      <c r="P594" s="3"/>
      <c r="Q594" s="3"/>
    </row>
    <row r="595" customFormat="false" ht="15" hidden="false" customHeight="false" outlineLevel="0" collapsed="false">
      <c r="A595" s="2" t="s">
        <v>50</v>
      </c>
      <c r="B595" s="2" t="n">
        <v>5</v>
      </c>
      <c r="C595" s="2" t="n">
        <v>136</v>
      </c>
      <c r="D595" s="2" t="n">
        <v>1</v>
      </c>
      <c r="E595" s="2" t="n">
        <v>290</v>
      </c>
      <c r="F595" s="2" t="n">
        <v>80</v>
      </c>
      <c r="G595" s="2" t="s">
        <v>37</v>
      </c>
      <c r="H595" s="6" t="str">
        <f aca="false">A595&amp;"_"&amp;B595</f>
        <v>jureia_5</v>
      </c>
      <c r="I595" s="6" t="str">
        <f aca="false">H595&amp;"_"&amp;C595&amp;"_"&amp;G595</f>
        <v>jureia_5_136_Tabebuia cassinoides</v>
      </c>
      <c r="J595" s="6" t="n">
        <f aca="false">IF(COUNTIF($I$2:I595,I595)=1,1,0)</f>
        <v>1</v>
      </c>
      <c r="K595" s="6" t="n">
        <f aca="false">E595*$Q$2</f>
        <v>29</v>
      </c>
      <c r="L595" s="7" t="n">
        <f aca="false">K595/PI()</f>
        <v>9.23098669932993</v>
      </c>
      <c r="M595" s="8" t="n">
        <f aca="false">PI()*L595^2/40000</f>
        <v>0.0066924653570142</v>
      </c>
      <c r="N595" s="7" t="n">
        <f aca="false">F595*$Q$3</f>
        <v>8</v>
      </c>
      <c r="O595" s="3"/>
      <c r="P595" s="3"/>
      <c r="Q595" s="3"/>
    </row>
    <row r="596" customFormat="false" ht="15" hidden="false" customHeight="false" outlineLevel="0" collapsed="false">
      <c r="A596" s="2" t="s">
        <v>50</v>
      </c>
      <c r="B596" s="2" t="n">
        <v>5</v>
      </c>
      <c r="C596" s="2" t="n">
        <v>137</v>
      </c>
      <c r="D596" s="2" t="n">
        <v>1</v>
      </c>
      <c r="E596" s="2" t="n">
        <v>360</v>
      </c>
      <c r="F596" s="2" t="n">
        <v>100</v>
      </c>
      <c r="G596" s="2" t="s">
        <v>37</v>
      </c>
      <c r="H596" s="6" t="str">
        <f aca="false">A596&amp;"_"&amp;B596</f>
        <v>jureia_5</v>
      </c>
      <c r="I596" s="6" t="str">
        <f aca="false">H596&amp;"_"&amp;C596&amp;"_"&amp;G596</f>
        <v>jureia_5_137_Tabebuia cassinoides</v>
      </c>
      <c r="J596" s="6" t="n">
        <f aca="false">IF(COUNTIF($I$2:I596,I596)=1,1,0)</f>
        <v>1</v>
      </c>
      <c r="K596" s="6" t="n">
        <f aca="false">E596*$Q$2</f>
        <v>36</v>
      </c>
      <c r="L596" s="7" t="n">
        <f aca="false">K596/PI()</f>
        <v>11.4591559026165</v>
      </c>
      <c r="M596" s="8" t="n">
        <f aca="false">PI()*L596^2/40000</f>
        <v>0.0103132403123548</v>
      </c>
      <c r="N596" s="7" t="n">
        <f aca="false">F596*$Q$3</f>
        <v>10</v>
      </c>
      <c r="O596" s="3"/>
      <c r="P596" s="3"/>
      <c r="Q596" s="3"/>
    </row>
    <row r="597" customFormat="false" ht="15" hidden="false" customHeight="false" outlineLevel="0" collapsed="false">
      <c r="A597" s="2" t="s">
        <v>50</v>
      </c>
      <c r="B597" s="2" t="n">
        <v>5</v>
      </c>
      <c r="C597" s="2" t="n">
        <v>137</v>
      </c>
      <c r="D597" s="2" t="n">
        <v>2</v>
      </c>
      <c r="E597" s="2" t="n">
        <v>390</v>
      </c>
      <c r="F597" s="2" t="n">
        <v>100</v>
      </c>
      <c r="G597" s="2" t="s">
        <v>37</v>
      </c>
      <c r="H597" s="6" t="str">
        <f aca="false">A597&amp;"_"&amp;B597</f>
        <v>jureia_5</v>
      </c>
      <c r="I597" s="6" t="str">
        <f aca="false">H597&amp;"_"&amp;C597&amp;"_"&amp;G597</f>
        <v>jureia_5_137_Tabebuia cassinoides</v>
      </c>
      <c r="J597" s="6" t="n">
        <f aca="false">IF(COUNTIF($I$2:I597,I597)=1,1,0)</f>
        <v>0</v>
      </c>
      <c r="K597" s="6" t="n">
        <f aca="false">E597*$Q$2</f>
        <v>39</v>
      </c>
      <c r="L597" s="7" t="n">
        <f aca="false">K597/PI()</f>
        <v>12.4140855611678</v>
      </c>
      <c r="M597" s="8" t="n">
        <f aca="false">PI()*L597^2/40000</f>
        <v>0.0121037334221386</v>
      </c>
      <c r="N597" s="7" t="n">
        <f aca="false">F597*$Q$3</f>
        <v>10</v>
      </c>
      <c r="O597" s="3"/>
      <c r="P597" s="3"/>
      <c r="Q597" s="3"/>
    </row>
    <row r="598" customFormat="false" ht="15" hidden="false" customHeight="false" outlineLevel="0" collapsed="false">
      <c r="A598" s="2" t="s">
        <v>50</v>
      </c>
      <c r="B598" s="2" t="n">
        <v>5</v>
      </c>
      <c r="C598" s="2" t="n">
        <v>138</v>
      </c>
      <c r="D598" s="2" t="n">
        <v>1</v>
      </c>
      <c r="E598" s="2" t="n">
        <v>540</v>
      </c>
      <c r="F598" s="2" t="n">
        <v>110</v>
      </c>
      <c r="G598" s="2" t="s">
        <v>65</v>
      </c>
      <c r="H598" s="6" t="str">
        <f aca="false">A598&amp;"_"&amp;B598</f>
        <v>jureia_5</v>
      </c>
      <c r="I598" s="6" t="str">
        <f aca="false">H598&amp;"_"&amp;C598&amp;"_"&amp;G598</f>
        <v>jureia_5_138_Ilex durosa</v>
      </c>
      <c r="J598" s="6" t="n">
        <f aca="false">IF(COUNTIF($I$2:I598,I598)=1,1,0)</f>
        <v>1</v>
      </c>
      <c r="K598" s="6" t="n">
        <f aca="false">E598*$Q$2</f>
        <v>54</v>
      </c>
      <c r="L598" s="7" t="n">
        <f aca="false">K598/PI()</f>
        <v>17.1887338539247</v>
      </c>
      <c r="M598" s="8" t="n">
        <f aca="false">PI()*L598^2/40000</f>
        <v>0.0232047907027983</v>
      </c>
      <c r="N598" s="7" t="n">
        <f aca="false">F598*$Q$3</f>
        <v>11</v>
      </c>
      <c r="O598" s="3"/>
      <c r="P598" s="3"/>
      <c r="Q598" s="3"/>
    </row>
    <row r="599" customFormat="false" ht="15" hidden="false" customHeight="false" outlineLevel="0" collapsed="false">
      <c r="A599" s="2" t="s">
        <v>50</v>
      </c>
      <c r="B599" s="2" t="n">
        <v>5</v>
      </c>
      <c r="C599" s="2" t="n">
        <v>139</v>
      </c>
      <c r="D599" s="2" t="n">
        <v>1</v>
      </c>
      <c r="E599" s="2" t="n">
        <v>390</v>
      </c>
      <c r="F599" s="2" t="n">
        <v>130</v>
      </c>
      <c r="G599" s="2" t="s">
        <v>65</v>
      </c>
      <c r="H599" s="6" t="str">
        <f aca="false">A599&amp;"_"&amp;B599</f>
        <v>jureia_5</v>
      </c>
      <c r="I599" s="6" t="str">
        <f aca="false">H599&amp;"_"&amp;C599&amp;"_"&amp;G599</f>
        <v>jureia_5_139_Ilex durosa</v>
      </c>
      <c r="J599" s="6" t="n">
        <f aca="false">IF(COUNTIF($I$2:I599,I599)=1,1,0)</f>
        <v>1</v>
      </c>
      <c r="K599" s="6" t="n">
        <f aca="false">E599*$Q$2</f>
        <v>39</v>
      </c>
      <c r="L599" s="7" t="n">
        <f aca="false">K599/PI()</f>
        <v>12.4140855611678</v>
      </c>
      <c r="M599" s="8" t="n">
        <f aca="false">PI()*L599^2/40000</f>
        <v>0.0121037334221386</v>
      </c>
      <c r="N599" s="7" t="n">
        <f aca="false">F599*$Q$3</f>
        <v>13</v>
      </c>
      <c r="O599" s="3"/>
      <c r="P599" s="3"/>
      <c r="Q599" s="3"/>
    </row>
    <row r="600" customFormat="false" ht="15" hidden="false" customHeight="false" outlineLevel="0" collapsed="false">
      <c r="A600" s="2" t="s">
        <v>50</v>
      </c>
      <c r="B600" s="2" t="n">
        <v>5</v>
      </c>
      <c r="C600" s="2" t="n">
        <v>139</v>
      </c>
      <c r="D600" s="2" t="n">
        <v>2</v>
      </c>
      <c r="E600" s="2" t="n">
        <v>470</v>
      </c>
      <c r="F600" s="2" t="n">
        <v>130</v>
      </c>
      <c r="G600" s="2" t="s">
        <v>65</v>
      </c>
      <c r="H600" s="6" t="str">
        <f aca="false">A600&amp;"_"&amp;B600</f>
        <v>jureia_5</v>
      </c>
      <c r="I600" s="6" t="str">
        <f aca="false">H600&amp;"_"&amp;C600&amp;"_"&amp;G600</f>
        <v>jureia_5_139_Ilex durosa</v>
      </c>
      <c r="J600" s="6" t="n">
        <f aca="false">IF(COUNTIF($I$2:I600,I600)=1,1,0)</f>
        <v>0</v>
      </c>
      <c r="K600" s="6" t="n">
        <f aca="false">E600*$Q$2</f>
        <v>47</v>
      </c>
      <c r="L600" s="7" t="n">
        <f aca="false">K600/PI()</f>
        <v>14.9605646506382</v>
      </c>
      <c r="M600" s="8" t="n">
        <f aca="false">PI()*L600^2/40000</f>
        <v>0.0175786634644998</v>
      </c>
      <c r="N600" s="7" t="n">
        <f aca="false">F600*$Q$3</f>
        <v>13</v>
      </c>
      <c r="O600" s="3"/>
      <c r="P600" s="3"/>
      <c r="Q600" s="3"/>
    </row>
    <row r="601" customFormat="false" ht="15" hidden="false" customHeight="false" outlineLevel="0" collapsed="false">
      <c r="A601" s="2" t="s">
        <v>50</v>
      </c>
      <c r="B601" s="2" t="n">
        <v>5</v>
      </c>
      <c r="C601" s="2" t="n">
        <v>139</v>
      </c>
      <c r="D601" s="2" t="n">
        <v>3</v>
      </c>
      <c r="E601" s="2" t="n">
        <v>500</v>
      </c>
      <c r="F601" s="2" t="n">
        <v>130</v>
      </c>
      <c r="G601" s="2" t="s">
        <v>65</v>
      </c>
      <c r="H601" s="6" t="str">
        <f aca="false">A601&amp;"_"&amp;B601</f>
        <v>jureia_5</v>
      </c>
      <c r="I601" s="6" t="str">
        <f aca="false">H601&amp;"_"&amp;C601&amp;"_"&amp;G601</f>
        <v>jureia_5_139_Ilex durosa</v>
      </c>
      <c r="J601" s="6" t="n">
        <f aca="false">IF(COUNTIF($I$2:I601,I601)=1,1,0)</f>
        <v>0</v>
      </c>
      <c r="K601" s="6" t="n">
        <f aca="false">E601*$Q$2</f>
        <v>50</v>
      </c>
      <c r="L601" s="7" t="n">
        <f aca="false">K601/PI()</f>
        <v>15.9154943091895</v>
      </c>
      <c r="M601" s="8" t="n">
        <f aca="false">PI()*L601^2/40000</f>
        <v>0.0198943678864869</v>
      </c>
      <c r="N601" s="7" t="n">
        <f aca="false">F601*$Q$3</f>
        <v>13</v>
      </c>
      <c r="O601" s="3"/>
      <c r="P601" s="3"/>
      <c r="Q601" s="3"/>
    </row>
    <row r="602" customFormat="false" ht="15" hidden="false" customHeight="false" outlineLevel="0" collapsed="false">
      <c r="A602" s="2" t="s">
        <v>50</v>
      </c>
      <c r="B602" s="2" t="n">
        <v>5</v>
      </c>
      <c r="C602" s="2" t="n">
        <v>140</v>
      </c>
      <c r="D602" s="2" t="n">
        <v>1</v>
      </c>
      <c r="E602" s="2" t="n">
        <v>220</v>
      </c>
      <c r="F602" s="2" t="n">
        <v>60</v>
      </c>
      <c r="G602" s="2" t="s">
        <v>37</v>
      </c>
      <c r="H602" s="6" t="str">
        <f aca="false">A602&amp;"_"&amp;B602</f>
        <v>jureia_5</v>
      </c>
      <c r="I602" s="6" t="str">
        <f aca="false">H602&amp;"_"&amp;C602&amp;"_"&amp;G602</f>
        <v>jureia_5_140_Tabebuia cassinoides</v>
      </c>
      <c r="J602" s="6" t="n">
        <f aca="false">IF(COUNTIF($I$2:I602,I602)=1,1,0)</f>
        <v>1</v>
      </c>
      <c r="K602" s="6" t="n">
        <f aca="false">E602*$Q$2</f>
        <v>22</v>
      </c>
      <c r="L602" s="7" t="n">
        <f aca="false">K602/PI()</f>
        <v>7.0028174960434</v>
      </c>
      <c r="M602" s="8" t="n">
        <f aca="false">PI()*L602^2/40000</f>
        <v>0.00385154962282387</v>
      </c>
      <c r="N602" s="7" t="n">
        <f aca="false">F602*$Q$3</f>
        <v>6</v>
      </c>
      <c r="O602" s="3"/>
      <c r="P602" s="3"/>
      <c r="Q602" s="3"/>
    </row>
    <row r="603" customFormat="false" ht="15" hidden="false" customHeight="false" outlineLevel="0" collapsed="false">
      <c r="A603" s="2" t="s">
        <v>50</v>
      </c>
      <c r="B603" s="2" t="n">
        <v>5</v>
      </c>
      <c r="C603" s="2" t="n">
        <v>141</v>
      </c>
      <c r="D603" s="2" t="n">
        <v>1</v>
      </c>
      <c r="E603" s="2" t="n">
        <v>210</v>
      </c>
      <c r="F603" s="2" t="n">
        <v>70</v>
      </c>
      <c r="G603" s="2" t="s">
        <v>37</v>
      </c>
      <c r="H603" s="6" t="str">
        <f aca="false">A603&amp;"_"&amp;B603</f>
        <v>jureia_5</v>
      </c>
      <c r="I603" s="6" t="str">
        <f aca="false">H603&amp;"_"&amp;C603&amp;"_"&amp;G603</f>
        <v>jureia_5_141_Tabebuia cassinoides</v>
      </c>
      <c r="J603" s="6" t="n">
        <f aca="false">IF(COUNTIF($I$2:I603,I603)=1,1,0)</f>
        <v>1</v>
      </c>
      <c r="K603" s="6" t="n">
        <f aca="false">E603*$Q$2</f>
        <v>21</v>
      </c>
      <c r="L603" s="7" t="n">
        <f aca="false">K603/PI()</f>
        <v>6.68450760985961</v>
      </c>
      <c r="M603" s="8" t="n">
        <f aca="false">PI()*L603^2/40000</f>
        <v>0.00350936649517629</v>
      </c>
      <c r="N603" s="7" t="n">
        <f aca="false">F603*$Q$3</f>
        <v>7</v>
      </c>
      <c r="O603" s="3"/>
      <c r="P603" s="3"/>
      <c r="Q603" s="3"/>
    </row>
    <row r="604" customFormat="false" ht="15" hidden="false" customHeight="false" outlineLevel="0" collapsed="false">
      <c r="A604" s="2" t="s">
        <v>50</v>
      </c>
      <c r="B604" s="2" t="n">
        <v>5</v>
      </c>
      <c r="C604" s="2" t="n">
        <v>142</v>
      </c>
      <c r="D604" s="2" t="n">
        <v>1</v>
      </c>
      <c r="E604" s="2" t="n">
        <v>210</v>
      </c>
      <c r="F604" s="2" t="n">
        <v>150</v>
      </c>
      <c r="G604" s="2" t="s">
        <v>37</v>
      </c>
      <c r="H604" s="6" t="str">
        <f aca="false">A604&amp;"_"&amp;B604</f>
        <v>jureia_5</v>
      </c>
      <c r="I604" s="6" t="str">
        <f aca="false">H604&amp;"_"&amp;C604&amp;"_"&amp;G604</f>
        <v>jureia_5_142_Tabebuia cassinoides</v>
      </c>
      <c r="J604" s="6" t="n">
        <f aca="false">IF(COUNTIF($I$2:I604,I604)=1,1,0)</f>
        <v>1</v>
      </c>
      <c r="K604" s="6" t="n">
        <f aca="false">E604*$Q$2</f>
        <v>21</v>
      </c>
      <c r="L604" s="7" t="n">
        <f aca="false">K604/PI()</f>
        <v>6.68450760985961</v>
      </c>
      <c r="M604" s="8" t="n">
        <f aca="false">PI()*L604^2/40000</f>
        <v>0.00350936649517629</v>
      </c>
      <c r="N604" s="7" t="n">
        <f aca="false">F604*$Q$3</f>
        <v>15</v>
      </c>
      <c r="O604" s="3"/>
      <c r="P604" s="3"/>
      <c r="Q604" s="3"/>
    </row>
    <row r="605" customFormat="false" ht="15" hidden="false" customHeight="false" outlineLevel="0" collapsed="false">
      <c r="A605" s="2" t="s">
        <v>50</v>
      </c>
      <c r="B605" s="2" t="n">
        <v>5</v>
      </c>
      <c r="C605" s="2" t="n">
        <v>142</v>
      </c>
      <c r="D605" s="2" t="n">
        <v>2</v>
      </c>
      <c r="E605" s="2" t="n">
        <v>500</v>
      </c>
      <c r="F605" s="2" t="n">
        <v>150</v>
      </c>
      <c r="G605" s="2" t="s">
        <v>37</v>
      </c>
      <c r="H605" s="6" t="str">
        <f aca="false">A605&amp;"_"&amp;B605</f>
        <v>jureia_5</v>
      </c>
      <c r="I605" s="6" t="str">
        <f aca="false">H605&amp;"_"&amp;C605&amp;"_"&amp;G605</f>
        <v>jureia_5_142_Tabebuia cassinoides</v>
      </c>
      <c r="J605" s="6" t="n">
        <f aca="false">IF(COUNTIF($I$2:I605,I605)=1,1,0)</f>
        <v>0</v>
      </c>
      <c r="K605" s="6" t="n">
        <f aca="false">E605*$Q$2</f>
        <v>50</v>
      </c>
      <c r="L605" s="7" t="n">
        <f aca="false">K605/PI()</f>
        <v>15.9154943091895</v>
      </c>
      <c r="M605" s="8" t="n">
        <f aca="false">PI()*L605^2/40000</f>
        <v>0.0198943678864869</v>
      </c>
      <c r="N605" s="7" t="n">
        <f aca="false">F605*$Q$3</f>
        <v>15</v>
      </c>
      <c r="O605" s="3"/>
      <c r="P605" s="3"/>
      <c r="Q605" s="3"/>
    </row>
    <row r="606" customFormat="false" ht="15" hidden="false" customHeight="false" outlineLevel="0" collapsed="false">
      <c r="A606" s="2" t="s">
        <v>50</v>
      </c>
      <c r="B606" s="2" t="n">
        <v>5</v>
      </c>
      <c r="C606" s="2" t="n">
        <v>142</v>
      </c>
      <c r="D606" s="2" t="n">
        <v>3</v>
      </c>
      <c r="E606" s="2" t="n">
        <v>190</v>
      </c>
      <c r="F606" s="2" t="n">
        <v>150</v>
      </c>
      <c r="G606" s="2" t="s">
        <v>37</v>
      </c>
      <c r="H606" s="6" t="str">
        <f aca="false">A606&amp;"_"&amp;B606</f>
        <v>jureia_5</v>
      </c>
      <c r="I606" s="6" t="str">
        <f aca="false">H606&amp;"_"&amp;C606&amp;"_"&amp;G606</f>
        <v>jureia_5_142_Tabebuia cassinoides</v>
      </c>
      <c r="J606" s="6" t="n">
        <f aca="false">IF(COUNTIF($I$2:I606,I606)=1,1,0)</f>
        <v>0</v>
      </c>
      <c r="K606" s="6" t="n">
        <f aca="false">E606*$Q$2</f>
        <v>19</v>
      </c>
      <c r="L606" s="7" t="n">
        <f aca="false">K606/PI()</f>
        <v>6.04788783749202</v>
      </c>
      <c r="M606" s="8" t="n">
        <f aca="false">PI()*L606^2/40000</f>
        <v>0.00287274672280871</v>
      </c>
      <c r="N606" s="7" t="n">
        <f aca="false">F606*$Q$3</f>
        <v>15</v>
      </c>
      <c r="O606" s="3"/>
      <c r="P606" s="3"/>
      <c r="Q606" s="3"/>
    </row>
    <row r="607" customFormat="false" ht="15" hidden="false" customHeight="false" outlineLevel="0" collapsed="false">
      <c r="A607" s="2" t="s">
        <v>50</v>
      </c>
      <c r="B607" s="2" t="n">
        <v>5</v>
      </c>
      <c r="C607" s="2" t="n">
        <v>142</v>
      </c>
      <c r="D607" s="2" t="n">
        <v>4</v>
      </c>
      <c r="E607" s="2" t="n">
        <v>200</v>
      </c>
      <c r="F607" s="2" t="n">
        <v>150</v>
      </c>
      <c r="G607" s="2" t="s">
        <v>37</v>
      </c>
      <c r="H607" s="6" t="str">
        <f aca="false">A607&amp;"_"&amp;B607</f>
        <v>jureia_5</v>
      </c>
      <c r="I607" s="6" t="str">
        <f aca="false">H607&amp;"_"&amp;C607&amp;"_"&amp;G607</f>
        <v>jureia_5_142_Tabebuia cassinoides</v>
      </c>
      <c r="J607" s="6" t="n">
        <f aca="false">IF(COUNTIF($I$2:I607,I607)=1,1,0)</f>
        <v>0</v>
      </c>
      <c r="K607" s="6" t="n">
        <f aca="false">E607*$Q$2</f>
        <v>20</v>
      </c>
      <c r="L607" s="7" t="n">
        <f aca="false">K607/PI()</f>
        <v>6.36619772367581</v>
      </c>
      <c r="M607" s="8" t="n">
        <f aca="false">PI()*L607^2/40000</f>
        <v>0.00318309886183791</v>
      </c>
      <c r="N607" s="7" t="n">
        <f aca="false">F607*$Q$3</f>
        <v>15</v>
      </c>
      <c r="O607" s="3"/>
      <c r="P607" s="3"/>
      <c r="Q607" s="3"/>
    </row>
    <row r="608" customFormat="false" ht="15" hidden="false" customHeight="false" outlineLevel="0" collapsed="false">
      <c r="A608" s="2" t="s">
        <v>50</v>
      </c>
      <c r="B608" s="2" t="n">
        <v>5</v>
      </c>
      <c r="C608" s="2" t="n">
        <v>143</v>
      </c>
      <c r="D608" s="2" t="n">
        <v>1</v>
      </c>
      <c r="E608" s="2" t="n">
        <v>210</v>
      </c>
      <c r="F608" s="2" t="n">
        <v>120</v>
      </c>
      <c r="G608" s="2" t="s">
        <v>37</v>
      </c>
      <c r="H608" s="6" t="str">
        <f aca="false">A608&amp;"_"&amp;B608</f>
        <v>jureia_5</v>
      </c>
      <c r="I608" s="6" t="str">
        <f aca="false">H608&amp;"_"&amp;C608&amp;"_"&amp;G608</f>
        <v>jureia_5_143_Tabebuia cassinoides</v>
      </c>
      <c r="J608" s="6" t="n">
        <f aca="false">IF(COUNTIF($I$2:I608,I608)=1,1,0)</f>
        <v>1</v>
      </c>
      <c r="K608" s="6" t="n">
        <f aca="false">E608*$Q$2</f>
        <v>21</v>
      </c>
      <c r="L608" s="7" t="n">
        <f aca="false">K608/PI()</f>
        <v>6.68450760985961</v>
      </c>
      <c r="M608" s="8" t="n">
        <f aca="false">PI()*L608^2/40000</f>
        <v>0.00350936649517629</v>
      </c>
      <c r="N608" s="7" t="n">
        <f aca="false">F608*$Q$3</f>
        <v>12</v>
      </c>
      <c r="O608" s="3"/>
      <c r="P608" s="3"/>
      <c r="Q608" s="3"/>
    </row>
    <row r="609" customFormat="false" ht="15" hidden="false" customHeight="false" outlineLevel="0" collapsed="false">
      <c r="A609" s="2" t="s">
        <v>50</v>
      </c>
      <c r="B609" s="2" t="n">
        <v>5</v>
      </c>
      <c r="C609" s="2" t="n">
        <v>143</v>
      </c>
      <c r="D609" s="2" t="n">
        <v>2</v>
      </c>
      <c r="E609" s="2" t="n">
        <v>360</v>
      </c>
      <c r="F609" s="2" t="n">
        <v>120</v>
      </c>
      <c r="G609" s="2" t="s">
        <v>37</v>
      </c>
      <c r="H609" s="6" t="str">
        <f aca="false">A609&amp;"_"&amp;B609</f>
        <v>jureia_5</v>
      </c>
      <c r="I609" s="6" t="str">
        <f aca="false">H609&amp;"_"&amp;C609&amp;"_"&amp;G609</f>
        <v>jureia_5_143_Tabebuia cassinoides</v>
      </c>
      <c r="J609" s="6" t="n">
        <f aca="false">IF(COUNTIF($I$2:I609,I609)=1,1,0)</f>
        <v>0</v>
      </c>
      <c r="K609" s="6" t="n">
        <f aca="false">E609*$Q$2</f>
        <v>36</v>
      </c>
      <c r="L609" s="7" t="n">
        <f aca="false">K609/PI()</f>
        <v>11.4591559026165</v>
      </c>
      <c r="M609" s="8" t="n">
        <f aca="false">PI()*L609^2/40000</f>
        <v>0.0103132403123548</v>
      </c>
      <c r="N609" s="7" t="n">
        <f aca="false">F609*$Q$3</f>
        <v>12</v>
      </c>
      <c r="O609" s="3"/>
      <c r="P609" s="3"/>
      <c r="Q609" s="3"/>
    </row>
    <row r="610" customFormat="false" ht="15" hidden="false" customHeight="false" outlineLevel="0" collapsed="false">
      <c r="A610" s="2" t="s">
        <v>50</v>
      </c>
      <c r="B610" s="2" t="n">
        <v>5</v>
      </c>
      <c r="C610" s="2" t="n">
        <v>143</v>
      </c>
      <c r="D610" s="2" t="n">
        <v>3</v>
      </c>
      <c r="E610" s="2" t="n">
        <v>460</v>
      </c>
      <c r="F610" s="2" t="n">
        <v>120</v>
      </c>
      <c r="G610" s="2" t="s">
        <v>37</v>
      </c>
      <c r="H610" s="6" t="str">
        <f aca="false">A610&amp;"_"&amp;B610</f>
        <v>jureia_5</v>
      </c>
      <c r="I610" s="6" t="str">
        <f aca="false">H610&amp;"_"&amp;C610&amp;"_"&amp;G610</f>
        <v>jureia_5_143_Tabebuia cassinoides</v>
      </c>
      <c r="J610" s="6" t="n">
        <f aca="false">IF(COUNTIF($I$2:I610,I610)=1,1,0)</f>
        <v>0</v>
      </c>
      <c r="K610" s="6" t="n">
        <f aca="false">E610*$Q$2</f>
        <v>46</v>
      </c>
      <c r="L610" s="7" t="n">
        <f aca="false">K610/PI()</f>
        <v>14.6422547644544</v>
      </c>
      <c r="M610" s="8" t="n">
        <f aca="false">PI()*L610^2/40000</f>
        <v>0.0168385929791225</v>
      </c>
      <c r="N610" s="7" t="n">
        <f aca="false">F610*$Q$3</f>
        <v>12</v>
      </c>
      <c r="O610" s="3"/>
      <c r="P610" s="3"/>
      <c r="Q610" s="3"/>
    </row>
    <row r="611" customFormat="false" ht="15" hidden="false" customHeight="false" outlineLevel="0" collapsed="false">
      <c r="A611" s="2" t="s">
        <v>50</v>
      </c>
      <c r="B611" s="2" t="n">
        <v>5</v>
      </c>
      <c r="C611" s="2" t="n">
        <v>144</v>
      </c>
      <c r="D611" s="2" t="n">
        <v>1</v>
      </c>
      <c r="E611" s="2" t="n">
        <v>300</v>
      </c>
      <c r="F611" s="2" t="n">
        <v>80</v>
      </c>
      <c r="G611" s="2" t="s">
        <v>37</v>
      </c>
      <c r="H611" s="6" t="str">
        <f aca="false">A611&amp;"_"&amp;B611</f>
        <v>jureia_5</v>
      </c>
      <c r="I611" s="6" t="str">
        <f aca="false">H611&amp;"_"&amp;C611&amp;"_"&amp;G611</f>
        <v>jureia_5_144_Tabebuia cassinoides</v>
      </c>
      <c r="J611" s="6" t="n">
        <f aca="false">IF(COUNTIF($I$2:I611,I611)=1,1,0)</f>
        <v>1</v>
      </c>
      <c r="K611" s="6" t="n">
        <f aca="false">E611*$Q$2</f>
        <v>30</v>
      </c>
      <c r="L611" s="7" t="n">
        <f aca="false">K611/PI()</f>
        <v>9.54929658551372</v>
      </c>
      <c r="M611" s="8" t="n">
        <f aca="false">PI()*L611^2/40000</f>
        <v>0.00716197243913529</v>
      </c>
      <c r="N611" s="7" t="n">
        <f aca="false">F611*$Q$3</f>
        <v>8</v>
      </c>
      <c r="O611" s="3"/>
      <c r="P611" s="3"/>
      <c r="Q611" s="3"/>
    </row>
    <row r="612" customFormat="false" ht="15" hidden="false" customHeight="false" outlineLevel="0" collapsed="false">
      <c r="A612" s="2" t="s">
        <v>50</v>
      </c>
      <c r="B612" s="2" t="n">
        <v>5</v>
      </c>
      <c r="C612" s="2" t="n">
        <v>144</v>
      </c>
      <c r="D612" s="2" t="n">
        <v>2</v>
      </c>
      <c r="E612" s="2" t="n">
        <v>200</v>
      </c>
      <c r="F612" s="2" t="n">
        <v>80</v>
      </c>
      <c r="G612" s="2" t="s">
        <v>37</v>
      </c>
      <c r="H612" s="6" t="str">
        <f aca="false">A612&amp;"_"&amp;B612</f>
        <v>jureia_5</v>
      </c>
      <c r="I612" s="6" t="str">
        <f aca="false">H612&amp;"_"&amp;C612&amp;"_"&amp;G612</f>
        <v>jureia_5_144_Tabebuia cassinoides</v>
      </c>
      <c r="J612" s="6" t="n">
        <f aca="false">IF(COUNTIF($I$2:I612,I612)=1,1,0)</f>
        <v>0</v>
      </c>
      <c r="K612" s="6" t="n">
        <f aca="false">E612*$Q$2</f>
        <v>20</v>
      </c>
      <c r="L612" s="7" t="n">
        <f aca="false">K612/PI()</f>
        <v>6.36619772367581</v>
      </c>
      <c r="M612" s="8" t="n">
        <f aca="false">PI()*L612^2/40000</f>
        <v>0.00318309886183791</v>
      </c>
      <c r="N612" s="7" t="n">
        <f aca="false">F612*$Q$3</f>
        <v>8</v>
      </c>
      <c r="O612" s="3"/>
      <c r="P612" s="3"/>
      <c r="Q612" s="3"/>
    </row>
    <row r="613" customFormat="false" ht="15" hidden="false" customHeight="false" outlineLevel="0" collapsed="false">
      <c r="A613" s="2" t="s">
        <v>50</v>
      </c>
      <c r="B613" s="2" t="n">
        <v>5</v>
      </c>
      <c r="C613" s="2" t="n">
        <v>144</v>
      </c>
      <c r="D613" s="2" t="n">
        <v>3</v>
      </c>
      <c r="E613" s="2" t="n">
        <v>240</v>
      </c>
      <c r="F613" s="2" t="n">
        <v>80</v>
      </c>
      <c r="G613" s="2" t="s">
        <v>37</v>
      </c>
      <c r="H613" s="6" t="str">
        <f aca="false">A613&amp;"_"&amp;B613</f>
        <v>jureia_5</v>
      </c>
      <c r="I613" s="6" t="str">
        <f aca="false">H613&amp;"_"&amp;C613&amp;"_"&amp;G613</f>
        <v>jureia_5_144_Tabebuia cassinoides</v>
      </c>
      <c r="J613" s="6" t="n">
        <f aca="false">IF(COUNTIF($I$2:I613,I613)=1,1,0)</f>
        <v>0</v>
      </c>
      <c r="K613" s="6" t="n">
        <f aca="false">E613*$Q$2</f>
        <v>24</v>
      </c>
      <c r="L613" s="7" t="n">
        <f aca="false">K613/PI()</f>
        <v>7.63943726841098</v>
      </c>
      <c r="M613" s="8" t="n">
        <f aca="false">PI()*L613^2/40000</f>
        <v>0.00458366236104659</v>
      </c>
      <c r="N613" s="7" t="n">
        <f aca="false">F613*$Q$3</f>
        <v>8</v>
      </c>
      <c r="O613" s="3"/>
      <c r="P613" s="3"/>
      <c r="Q613" s="3"/>
    </row>
    <row r="614" customFormat="false" ht="15" hidden="false" customHeight="false" outlineLevel="0" collapsed="false">
      <c r="A614" s="2" t="s">
        <v>50</v>
      </c>
      <c r="B614" s="2" t="n">
        <v>5</v>
      </c>
      <c r="C614" s="2" t="n">
        <v>145</v>
      </c>
      <c r="D614" s="2" t="n">
        <v>1</v>
      </c>
      <c r="E614" s="2" t="n">
        <v>300</v>
      </c>
      <c r="F614" s="2" t="n">
        <v>80</v>
      </c>
      <c r="G614" s="2" t="s">
        <v>65</v>
      </c>
      <c r="H614" s="6" t="str">
        <f aca="false">A614&amp;"_"&amp;B614</f>
        <v>jureia_5</v>
      </c>
      <c r="I614" s="6" t="str">
        <f aca="false">H614&amp;"_"&amp;C614&amp;"_"&amp;G614</f>
        <v>jureia_5_145_Ilex durosa</v>
      </c>
      <c r="J614" s="6" t="n">
        <f aca="false">IF(COUNTIF($I$2:I614,I614)=1,1,0)</f>
        <v>1</v>
      </c>
      <c r="K614" s="6" t="n">
        <f aca="false">E614*$Q$2</f>
        <v>30</v>
      </c>
      <c r="L614" s="7" t="n">
        <f aca="false">K614/PI()</f>
        <v>9.54929658551372</v>
      </c>
      <c r="M614" s="8" t="n">
        <f aca="false">PI()*L614^2/40000</f>
        <v>0.00716197243913529</v>
      </c>
      <c r="N614" s="7" t="n">
        <f aca="false">F614*$Q$3</f>
        <v>8</v>
      </c>
      <c r="O614" s="3"/>
      <c r="P614" s="3"/>
      <c r="Q614" s="3"/>
    </row>
    <row r="615" customFormat="false" ht="15" hidden="false" customHeight="false" outlineLevel="0" collapsed="false">
      <c r="A615" s="2" t="s">
        <v>50</v>
      </c>
      <c r="B615" s="2" t="n">
        <v>5</v>
      </c>
      <c r="C615" s="2" t="n">
        <v>146</v>
      </c>
      <c r="D615" s="2" t="n">
        <v>1</v>
      </c>
      <c r="E615" s="2" t="n">
        <v>220</v>
      </c>
      <c r="F615" s="2" t="n">
        <v>70</v>
      </c>
      <c r="G615" s="2" t="s">
        <v>37</v>
      </c>
      <c r="H615" s="6" t="str">
        <f aca="false">A615&amp;"_"&amp;B615</f>
        <v>jureia_5</v>
      </c>
      <c r="I615" s="6" t="str">
        <f aca="false">H615&amp;"_"&amp;C615&amp;"_"&amp;G615</f>
        <v>jureia_5_146_Tabebuia cassinoides</v>
      </c>
      <c r="J615" s="6" t="n">
        <f aca="false">IF(COUNTIF($I$2:I615,I615)=1,1,0)</f>
        <v>1</v>
      </c>
      <c r="K615" s="6" t="n">
        <f aca="false">E615*$Q$2</f>
        <v>22</v>
      </c>
      <c r="L615" s="7" t="n">
        <f aca="false">K615/PI()</f>
        <v>7.0028174960434</v>
      </c>
      <c r="M615" s="8" t="n">
        <f aca="false">PI()*L615^2/40000</f>
        <v>0.00385154962282387</v>
      </c>
      <c r="N615" s="7" t="n">
        <f aca="false">F615*$Q$3</f>
        <v>7</v>
      </c>
      <c r="O615" s="3"/>
      <c r="P615" s="3"/>
      <c r="Q615" s="3"/>
    </row>
    <row r="616" customFormat="false" ht="15" hidden="false" customHeight="false" outlineLevel="0" collapsed="false">
      <c r="A616" s="2" t="s">
        <v>50</v>
      </c>
      <c r="B616" s="2" t="n">
        <v>5</v>
      </c>
      <c r="C616" s="2" t="n">
        <v>146</v>
      </c>
      <c r="D616" s="2" t="n">
        <v>2</v>
      </c>
      <c r="E616" s="2" t="n">
        <v>370</v>
      </c>
      <c r="F616" s="2" t="n">
        <v>70</v>
      </c>
      <c r="G616" s="2" t="s">
        <v>37</v>
      </c>
      <c r="H616" s="6" t="str">
        <f aca="false">A616&amp;"_"&amp;B616</f>
        <v>jureia_5</v>
      </c>
      <c r="I616" s="6" t="str">
        <f aca="false">H616&amp;"_"&amp;C616&amp;"_"&amp;G616</f>
        <v>jureia_5_146_Tabebuia cassinoides</v>
      </c>
      <c r="J616" s="6" t="n">
        <f aca="false">IF(COUNTIF($I$2:I616,I616)=1,1,0)</f>
        <v>0</v>
      </c>
      <c r="K616" s="6" t="n">
        <f aca="false">E616*$Q$2</f>
        <v>37</v>
      </c>
      <c r="L616" s="7" t="n">
        <f aca="false">K616/PI()</f>
        <v>11.7774657888003</v>
      </c>
      <c r="M616" s="8" t="n">
        <f aca="false">PI()*L616^2/40000</f>
        <v>0.0108941558546402</v>
      </c>
      <c r="N616" s="7" t="n">
        <f aca="false">F616*$Q$3</f>
        <v>7</v>
      </c>
      <c r="O616" s="3"/>
      <c r="P616" s="3"/>
      <c r="Q616" s="3"/>
    </row>
    <row r="617" customFormat="false" ht="15" hidden="false" customHeight="false" outlineLevel="0" collapsed="false">
      <c r="A617" s="2" t="s">
        <v>50</v>
      </c>
      <c r="B617" s="2" t="n">
        <v>5</v>
      </c>
      <c r="C617" s="2" t="n">
        <v>146</v>
      </c>
      <c r="D617" s="2" t="n">
        <v>3</v>
      </c>
      <c r="E617" s="2" t="n">
        <v>280</v>
      </c>
      <c r="F617" s="2" t="n">
        <v>70</v>
      </c>
      <c r="G617" s="2" t="s">
        <v>37</v>
      </c>
      <c r="H617" s="6" t="str">
        <f aca="false">A617&amp;"_"&amp;B617</f>
        <v>jureia_5</v>
      </c>
      <c r="I617" s="6" t="str">
        <f aca="false">H617&amp;"_"&amp;C617&amp;"_"&amp;G617</f>
        <v>jureia_5_146_Tabebuia cassinoides</v>
      </c>
      <c r="J617" s="6" t="n">
        <f aca="false">IF(COUNTIF($I$2:I617,I617)=1,1,0)</f>
        <v>0</v>
      </c>
      <c r="K617" s="6" t="n">
        <f aca="false">E617*$Q$2</f>
        <v>28</v>
      </c>
      <c r="L617" s="7" t="n">
        <f aca="false">K617/PI()</f>
        <v>8.91267681314614</v>
      </c>
      <c r="M617" s="8" t="n">
        <f aca="false">PI()*L617^2/40000</f>
        <v>0.0062388737692023</v>
      </c>
      <c r="N617" s="7" t="n">
        <f aca="false">F617*$Q$3</f>
        <v>7</v>
      </c>
      <c r="O617" s="3"/>
      <c r="P617" s="3"/>
      <c r="Q617" s="3"/>
    </row>
    <row r="618" customFormat="false" ht="15" hidden="false" customHeight="false" outlineLevel="0" collapsed="false">
      <c r="A618" s="2" t="s">
        <v>50</v>
      </c>
      <c r="B618" s="2" t="n">
        <v>5</v>
      </c>
      <c r="C618" s="2" t="n">
        <v>146</v>
      </c>
      <c r="D618" s="2" t="n">
        <v>4</v>
      </c>
      <c r="E618" s="2" t="n">
        <v>190</v>
      </c>
      <c r="F618" s="2" t="n">
        <v>70</v>
      </c>
      <c r="G618" s="2" t="s">
        <v>37</v>
      </c>
      <c r="H618" s="6" t="str">
        <f aca="false">A618&amp;"_"&amp;B618</f>
        <v>jureia_5</v>
      </c>
      <c r="I618" s="6" t="str">
        <f aca="false">H618&amp;"_"&amp;C618&amp;"_"&amp;G618</f>
        <v>jureia_5_146_Tabebuia cassinoides</v>
      </c>
      <c r="J618" s="6" t="n">
        <f aca="false">IF(COUNTIF($I$2:I618,I618)=1,1,0)</f>
        <v>0</v>
      </c>
      <c r="K618" s="6" t="n">
        <f aca="false">E618*$Q$2</f>
        <v>19</v>
      </c>
      <c r="L618" s="7" t="n">
        <f aca="false">K618/PI()</f>
        <v>6.04788783749202</v>
      </c>
      <c r="M618" s="8" t="n">
        <f aca="false">PI()*L618^2/40000</f>
        <v>0.00287274672280871</v>
      </c>
      <c r="N618" s="7" t="n">
        <f aca="false">F618*$Q$3</f>
        <v>7</v>
      </c>
      <c r="O618" s="3"/>
      <c r="P618" s="3"/>
      <c r="Q618" s="3"/>
    </row>
    <row r="619" customFormat="false" ht="15" hidden="false" customHeight="false" outlineLevel="0" collapsed="false">
      <c r="A619" s="2" t="s">
        <v>50</v>
      </c>
      <c r="B619" s="2" t="n">
        <v>5</v>
      </c>
      <c r="C619" s="2" t="n">
        <v>146</v>
      </c>
      <c r="D619" s="2" t="n">
        <v>5</v>
      </c>
      <c r="E619" s="2" t="n">
        <v>260</v>
      </c>
      <c r="F619" s="2" t="n">
        <v>70</v>
      </c>
      <c r="G619" s="2" t="s">
        <v>37</v>
      </c>
      <c r="H619" s="6" t="str">
        <f aca="false">A619&amp;"_"&amp;B619</f>
        <v>jureia_5</v>
      </c>
      <c r="I619" s="6" t="str">
        <f aca="false">H619&amp;"_"&amp;C619&amp;"_"&amp;G619</f>
        <v>jureia_5_146_Tabebuia cassinoides</v>
      </c>
      <c r="J619" s="6" t="n">
        <f aca="false">IF(COUNTIF($I$2:I619,I619)=1,1,0)</f>
        <v>0</v>
      </c>
      <c r="K619" s="6" t="n">
        <f aca="false">E619*$Q$2</f>
        <v>26</v>
      </c>
      <c r="L619" s="7" t="n">
        <f aca="false">K619/PI()</f>
        <v>8.27605704077856</v>
      </c>
      <c r="M619" s="8" t="n">
        <f aca="false">PI()*L619^2/40000</f>
        <v>0.00537943707650606</v>
      </c>
      <c r="N619" s="7" t="n">
        <f aca="false">F619*$Q$3</f>
        <v>7</v>
      </c>
      <c r="O619" s="3"/>
      <c r="P619" s="3"/>
      <c r="Q619" s="3"/>
    </row>
    <row r="620" customFormat="false" ht="15" hidden="false" customHeight="false" outlineLevel="0" collapsed="false">
      <c r="A620" s="2" t="s">
        <v>50</v>
      </c>
      <c r="B620" s="2" t="n">
        <v>5</v>
      </c>
      <c r="C620" s="2" t="n">
        <v>147</v>
      </c>
      <c r="D620" s="2" t="n">
        <v>1</v>
      </c>
      <c r="E620" s="2" t="n">
        <v>590</v>
      </c>
      <c r="F620" s="2" t="n">
        <v>130</v>
      </c>
      <c r="G620" s="2" t="s">
        <v>60</v>
      </c>
      <c r="H620" s="6" t="str">
        <f aca="false">A620&amp;"_"&amp;B620</f>
        <v>jureia_5</v>
      </c>
      <c r="I620" s="6" t="str">
        <f aca="false">H620&amp;"_"&amp;C620&amp;"_"&amp;G620</f>
        <v>jureia_5_147_Alchornea triplinervia</v>
      </c>
      <c r="J620" s="6" t="n">
        <f aca="false">IF(COUNTIF($I$2:I620,I620)=1,1,0)</f>
        <v>1</v>
      </c>
      <c r="K620" s="6" t="n">
        <f aca="false">E620*$Q$2</f>
        <v>59</v>
      </c>
      <c r="L620" s="7" t="n">
        <f aca="false">K620/PI()</f>
        <v>18.7802832848437</v>
      </c>
      <c r="M620" s="8" t="n">
        <f aca="false">PI()*L620^2/40000</f>
        <v>0.0277009178451444</v>
      </c>
      <c r="N620" s="7" t="n">
        <f aca="false">F620*$Q$3</f>
        <v>13</v>
      </c>
      <c r="O620" s="3"/>
      <c r="P620" s="3"/>
      <c r="Q620" s="3"/>
    </row>
    <row r="621" customFormat="false" ht="15" hidden="false" customHeight="false" outlineLevel="0" collapsed="false">
      <c r="A621" s="2" t="s">
        <v>50</v>
      </c>
      <c r="B621" s="2" t="n">
        <v>5</v>
      </c>
      <c r="C621" s="2" t="n">
        <v>148</v>
      </c>
      <c r="D621" s="2" t="n">
        <v>1</v>
      </c>
      <c r="E621" s="2" t="n">
        <v>340</v>
      </c>
      <c r="F621" s="2" t="n">
        <v>80</v>
      </c>
      <c r="G621" s="2" t="s">
        <v>65</v>
      </c>
      <c r="H621" s="6" t="str">
        <f aca="false">A621&amp;"_"&amp;B621</f>
        <v>jureia_5</v>
      </c>
      <c r="I621" s="6" t="str">
        <f aca="false">H621&amp;"_"&amp;C621&amp;"_"&amp;G621</f>
        <v>jureia_5_148_Ilex durosa</v>
      </c>
      <c r="J621" s="6" t="n">
        <f aca="false">IF(COUNTIF($I$2:I621,I621)=1,1,0)</f>
        <v>1</v>
      </c>
      <c r="K621" s="6" t="n">
        <f aca="false">E621*$Q$2</f>
        <v>34</v>
      </c>
      <c r="L621" s="7" t="n">
        <f aca="false">K621/PI()</f>
        <v>10.8225361302489</v>
      </c>
      <c r="M621" s="8" t="n">
        <f aca="false">PI()*L621^2/40000</f>
        <v>0.00919915571071155</v>
      </c>
      <c r="N621" s="7" t="n">
        <f aca="false">F621*$Q$3</f>
        <v>8</v>
      </c>
      <c r="O621" s="3"/>
      <c r="P621" s="3"/>
      <c r="Q621" s="3"/>
    </row>
    <row r="622" customFormat="false" ht="15" hidden="false" customHeight="false" outlineLevel="0" collapsed="false">
      <c r="A622" s="2" t="s">
        <v>50</v>
      </c>
      <c r="B622" s="2" t="n">
        <v>5</v>
      </c>
      <c r="C622" s="2" t="n">
        <v>149</v>
      </c>
      <c r="D622" s="2" t="n">
        <v>1</v>
      </c>
      <c r="E622" s="2" t="n">
        <v>460</v>
      </c>
      <c r="F622" s="2" t="n">
        <v>100</v>
      </c>
      <c r="G622" s="2" t="s">
        <v>65</v>
      </c>
      <c r="H622" s="6" t="str">
        <f aca="false">A622&amp;"_"&amp;B622</f>
        <v>jureia_5</v>
      </c>
      <c r="I622" s="6" t="str">
        <f aca="false">H622&amp;"_"&amp;C622&amp;"_"&amp;G622</f>
        <v>jureia_5_149_Ilex durosa</v>
      </c>
      <c r="J622" s="6" t="n">
        <f aca="false">IF(COUNTIF($I$2:I622,I622)=1,1,0)</f>
        <v>1</v>
      </c>
      <c r="K622" s="6" t="n">
        <f aca="false">E622*$Q$2</f>
        <v>46</v>
      </c>
      <c r="L622" s="7" t="n">
        <f aca="false">K622/PI()</f>
        <v>14.6422547644544</v>
      </c>
      <c r="M622" s="8" t="n">
        <f aca="false">PI()*L622^2/40000</f>
        <v>0.0168385929791225</v>
      </c>
      <c r="N622" s="7" t="n">
        <f aca="false">F622*$Q$3</f>
        <v>10</v>
      </c>
      <c r="O622" s="3"/>
      <c r="P622" s="3"/>
      <c r="Q622" s="3"/>
    </row>
    <row r="623" customFormat="false" ht="15" hidden="false" customHeight="false" outlineLevel="0" collapsed="false">
      <c r="A623" s="2" t="s">
        <v>50</v>
      </c>
      <c r="B623" s="2" t="n">
        <v>5</v>
      </c>
      <c r="C623" s="2" t="n">
        <v>150</v>
      </c>
      <c r="D623" s="2" t="n">
        <v>1</v>
      </c>
      <c r="E623" s="2" t="n">
        <v>330</v>
      </c>
      <c r="F623" s="2" t="n">
        <v>50</v>
      </c>
      <c r="G623" s="2" t="s">
        <v>69</v>
      </c>
      <c r="H623" s="6" t="str">
        <f aca="false">A623&amp;"_"&amp;B623</f>
        <v>jureia_5</v>
      </c>
      <c r="I623" s="6" t="str">
        <f aca="false">H623&amp;"_"&amp;C623&amp;"_"&amp;G623</f>
        <v>jureia_5_150_Jacaranda puberula</v>
      </c>
      <c r="J623" s="6" t="n">
        <f aca="false">IF(COUNTIF($I$2:I623,I623)=1,1,0)</f>
        <v>1</v>
      </c>
      <c r="K623" s="6" t="n">
        <f aca="false">E623*$Q$2</f>
        <v>33</v>
      </c>
      <c r="L623" s="7" t="n">
        <f aca="false">K623/PI()</f>
        <v>10.5042262440651</v>
      </c>
      <c r="M623" s="8" t="n">
        <f aca="false">PI()*L623^2/40000</f>
        <v>0.0086659866513537</v>
      </c>
      <c r="N623" s="7" t="n">
        <f aca="false">F623*$Q$3</f>
        <v>5</v>
      </c>
      <c r="O623" s="3"/>
      <c r="P623" s="3"/>
      <c r="Q623" s="3"/>
    </row>
    <row r="624" customFormat="false" ht="15" hidden="false" customHeight="false" outlineLevel="0" collapsed="false">
      <c r="A624" s="2" t="s">
        <v>50</v>
      </c>
      <c r="B624" s="2" t="n">
        <v>5</v>
      </c>
      <c r="C624" s="2" t="n">
        <v>150</v>
      </c>
      <c r="D624" s="2" t="n">
        <v>2</v>
      </c>
      <c r="E624" s="2" t="n">
        <v>310</v>
      </c>
      <c r="F624" s="2" t="n">
        <v>50</v>
      </c>
      <c r="G624" s="2" t="s">
        <v>69</v>
      </c>
      <c r="H624" s="6" t="str">
        <f aca="false">A624&amp;"_"&amp;B624</f>
        <v>jureia_5</v>
      </c>
      <c r="I624" s="6" t="str">
        <f aca="false">H624&amp;"_"&amp;C624&amp;"_"&amp;G624</f>
        <v>jureia_5_150_Jacaranda puberula</v>
      </c>
      <c r="J624" s="6" t="n">
        <f aca="false">IF(COUNTIF($I$2:I624,I624)=1,1,0)</f>
        <v>0</v>
      </c>
      <c r="K624" s="6" t="n">
        <f aca="false">E624*$Q$2</f>
        <v>31</v>
      </c>
      <c r="L624" s="7" t="n">
        <f aca="false">K624/PI()</f>
        <v>9.86760647169751</v>
      </c>
      <c r="M624" s="8" t="n">
        <f aca="false">PI()*L624^2/40000</f>
        <v>0.00764739501556557</v>
      </c>
      <c r="N624" s="7" t="n">
        <f aca="false">F624*$Q$3</f>
        <v>5</v>
      </c>
      <c r="O624" s="3"/>
      <c r="P624" s="3"/>
      <c r="Q624" s="3"/>
    </row>
    <row r="625" customFormat="false" ht="15" hidden="false" customHeight="false" outlineLevel="0" collapsed="false">
      <c r="A625" s="2" t="s">
        <v>50</v>
      </c>
      <c r="B625" s="2" t="n">
        <v>5</v>
      </c>
      <c r="C625" s="2" t="n">
        <v>151</v>
      </c>
      <c r="D625" s="2" t="n">
        <v>1</v>
      </c>
      <c r="E625" s="2" t="n">
        <v>520</v>
      </c>
      <c r="F625" s="2" t="n">
        <v>90</v>
      </c>
      <c r="G625" s="2" t="s">
        <v>37</v>
      </c>
      <c r="H625" s="6" t="str">
        <f aca="false">A625&amp;"_"&amp;B625</f>
        <v>jureia_5</v>
      </c>
      <c r="I625" s="6" t="str">
        <f aca="false">H625&amp;"_"&amp;C625&amp;"_"&amp;G625</f>
        <v>jureia_5_151_Tabebuia cassinoides</v>
      </c>
      <c r="J625" s="6" t="n">
        <f aca="false">IF(COUNTIF($I$2:I625,I625)=1,1,0)</f>
        <v>1</v>
      </c>
      <c r="K625" s="6" t="n">
        <f aca="false">E625*$Q$2</f>
        <v>52</v>
      </c>
      <c r="L625" s="7" t="n">
        <f aca="false">K625/PI()</f>
        <v>16.5521140815571</v>
      </c>
      <c r="M625" s="8" t="n">
        <f aca="false">PI()*L625^2/40000</f>
        <v>0.0215177483060242</v>
      </c>
      <c r="N625" s="7" t="n">
        <f aca="false">F625*$Q$3</f>
        <v>9</v>
      </c>
      <c r="O625" s="3"/>
      <c r="P625" s="3"/>
      <c r="Q625" s="3"/>
    </row>
    <row r="626" customFormat="false" ht="15" hidden="false" customHeight="false" outlineLevel="0" collapsed="false">
      <c r="A626" s="2" t="s">
        <v>50</v>
      </c>
      <c r="B626" s="2" t="n">
        <v>5</v>
      </c>
      <c r="C626" s="2" t="n">
        <v>152</v>
      </c>
      <c r="D626" s="2" t="n">
        <v>1</v>
      </c>
      <c r="E626" s="2" t="n">
        <v>330</v>
      </c>
      <c r="F626" s="2" t="n">
        <v>60</v>
      </c>
      <c r="G626" s="2" t="s">
        <v>37</v>
      </c>
      <c r="H626" s="6" t="str">
        <f aca="false">A626&amp;"_"&amp;B626</f>
        <v>jureia_5</v>
      </c>
      <c r="I626" s="6" t="str">
        <f aca="false">H626&amp;"_"&amp;C626&amp;"_"&amp;G626</f>
        <v>jureia_5_152_Tabebuia cassinoides</v>
      </c>
      <c r="J626" s="6" t="n">
        <f aca="false">IF(COUNTIF($I$2:I626,I626)=1,1,0)</f>
        <v>1</v>
      </c>
      <c r="K626" s="6" t="n">
        <f aca="false">E626*$Q$2</f>
        <v>33</v>
      </c>
      <c r="L626" s="7" t="n">
        <f aca="false">K626/PI()</f>
        <v>10.5042262440651</v>
      </c>
      <c r="M626" s="8" t="n">
        <f aca="false">PI()*L626^2/40000</f>
        <v>0.0086659866513537</v>
      </c>
      <c r="N626" s="7" t="n">
        <f aca="false">F626*$Q$3</f>
        <v>6</v>
      </c>
      <c r="O626" s="3"/>
      <c r="P626" s="3"/>
      <c r="Q626" s="3"/>
    </row>
    <row r="627" customFormat="false" ht="15" hidden="false" customHeight="false" outlineLevel="0" collapsed="false">
      <c r="A627" s="2" t="s">
        <v>50</v>
      </c>
      <c r="B627" s="2" t="n">
        <v>5</v>
      </c>
      <c r="C627" s="2" t="n">
        <v>153</v>
      </c>
      <c r="D627" s="2" t="n">
        <v>1</v>
      </c>
      <c r="E627" s="2" t="n">
        <v>270</v>
      </c>
      <c r="F627" s="2" t="n">
        <v>60</v>
      </c>
      <c r="G627" s="2" t="s">
        <v>37</v>
      </c>
      <c r="H627" s="6" t="str">
        <f aca="false">A627&amp;"_"&amp;B627</f>
        <v>jureia_5</v>
      </c>
      <c r="I627" s="6" t="str">
        <f aca="false">H627&amp;"_"&amp;C627&amp;"_"&amp;G627</f>
        <v>jureia_5_153_Tabebuia cassinoides</v>
      </c>
      <c r="J627" s="6" t="n">
        <f aca="false">IF(COUNTIF($I$2:I627,I627)=1,1,0)</f>
        <v>1</v>
      </c>
      <c r="K627" s="6" t="n">
        <f aca="false">E627*$Q$2</f>
        <v>27</v>
      </c>
      <c r="L627" s="7" t="n">
        <f aca="false">K627/PI()</f>
        <v>8.59436692696235</v>
      </c>
      <c r="M627" s="8" t="n">
        <f aca="false">PI()*L627^2/40000</f>
        <v>0.00580119767569958</v>
      </c>
      <c r="N627" s="7" t="n">
        <f aca="false">F627*$Q$3</f>
        <v>6</v>
      </c>
      <c r="O627" s="3"/>
      <c r="P627" s="3"/>
      <c r="Q627" s="3"/>
    </row>
    <row r="628" customFormat="false" ht="15" hidden="false" customHeight="false" outlineLevel="0" collapsed="false">
      <c r="A628" s="2" t="s">
        <v>50</v>
      </c>
      <c r="B628" s="2" t="n">
        <v>5</v>
      </c>
      <c r="C628" s="2" t="n">
        <v>154</v>
      </c>
      <c r="D628" s="2" t="n">
        <v>1</v>
      </c>
      <c r="E628" s="2" t="n">
        <v>170</v>
      </c>
      <c r="F628" s="2" t="n">
        <v>40</v>
      </c>
      <c r="G628" s="2" t="s">
        <v>37</v>
      </c>
      <c r="H628" s="6" t="str">
        <f aca="false">A628&amp;"_"&amp;B628</f>
        <v>jureia_5</v>
      </c>
      <c r="I628" s="6" t="str">
        <f aca="false">H628&amp;"_"&amp;C628&amp;"_"&amp;G628</f>
        <v>jureia_5_154_Tabebuia cassinoides</v>
      </c>
      <c r="J628" s="6" t="n">
        <f aca="false">IF(COUNTIF($I$2:I628,I628)=1,1,0)</f>
        <v>1</v>
      </c>
      <c r="K628" s="6" t="n">
        <f aca="false">E628*$Q$2</f>
        <v>17</v>
      </c>
      <c r="L628" s="7" t="n">
        <f aca="false">K628/PI()</f>
        <v>5.41126806512444</v>
      </c>
      <c r="M628" s="8" t="n">
        <f aca="false">PI()*L628^2/40000</f>
        <v>0.00229978892767789</v>
      </c>
      <c r="N628" s="7" t="n">
        <f aca="false">F628*$Q$3</f>
        <v>4</v>
      </c>
      <c r="O628" s="3"/>
      <c r="P628" s="3"/>
      <c r="Q628" s="3"/>
    </row>
    <row r="629" customFormat="false" ht="15" hidden="false" customHeight="false" outlineLevel="0" collapsed="false">
      <c r="A629" s="2" t="s">
        <v>50</v>
      </c>
      <c r="B629" s="2" t="n">
        <v>5</v>
      </c>
      <c r="C629" s="2" t="n">
        <v>155</v>
      </c>
      <c r="D629" s="2" t="n">
        <v>1</v>
      </c>
      <c r="E629" s="2" t="n">
        <v>440</v>
      </c>
      <c r="F629" s="2" t="n">
        <v>120</v>
      </c>
      <c r="G629" s="2" t="s">
        <v>37</v>
      </c>
      <c r="H629" s="6" t="str">
        <f aca="false">A629&amp;"_"&amp;B629</f>
        <v>jureia_5</v>
      </c>
      <c r="I629" s="6" t="str">
        <f aca="false">H629&amp;"_"&amp;C629&amp;"_"&amp;G629</f>
        <v>jureia_5_155_Tabebuia cassinoides</v>
      </c>
      <c r="J629" s="6" t="n">
        <f aca="false">IF(COUNTIF($I$2:I629,I629)=1,1,0)</f>
        <v>1</v>
      </c>
      <c r="K629" s="6" t="n">
        <f aca="false">E629*$Q$2</f>
        <v>44</v>
      </c>
      <c r="L629" s="7" t="n">
        <f aca="false">K629/PI()</f>
        <v>14.0056349920868</v>
      </c>
      <c r="M629" s="8" t="n">
        <f aca="false">PI()*L629^2/40000</f>
        <v>0.0154061984912955</v>
      </c>
      <c r="N629" s="7" t="n">
        <f aca="false">F629*$Q$3</f>
        <v>12</v>
      </c>
      <c r="O629" s="3"/>
      <c r="P629" s="3"/>
      <c r="Q629" s="3"/>
    </row>
    <row r="630" customFormat="false" ht="15" hidden="false" customHeight="false" outlineLevel="0" collapsed="false">
      <c r="A630" s="2" t="s">
        <v>50</v>
      </c>
      <c r="B630" s="2" t="n">
        <v>5</v>
      </c>
      <c r="C630" s="2" t="n">
        <v>156</v>
      </c>
      <c r="D630" s="2" t="n">
        <v>1</v>
      </c>
      <c r="E630" s="2" t="n">
        <v>330</v>
      </c>
      <c r="F630" s="2" t="n">
        <v>60</v>
      </c>
      <c r="G630" s="2" t="s">
        <v>44</v>
      </c>
      <c r="H630" s="6" t="str">
        <f aca="false">A630&amp;"_"&amp;B630</f>
        <v>jureia_5</v>
      </c>
      <c r="I630" s="6" t="str">
        <f aca="false">H630&amp;"_"&amp;C630&amp;"_"&amp;G630</f>
        <v>jureia_5_156_Psidium sp</v>
      </c>
      <c r="J630" s="6" t="n">
        <f aca="false">IF(COUNTIF($I$2:I630,I630)=1,1,0)</f>
        <v>1</v>
      </c>
      <c r="K630" s="6" t="n">
        <f aca="false">E630*$Q$2</f>
        <v>33</v>
      </c>
      <c r="L630" s="7" t="n">
        <f aca="false">K630/PI()</f>
        <v>10.5042262440651</v>
      </c>
      <c r="M630" s="8" t="n">
        <f aca="false">PI()*L630^2/40000</f>
        <v>0.0086659866513537</v>
      </c>
      <c r="N630" s="7" t="n">
        <f aca="false">F630*$Q$3</f>
        <v>6</v>
      </c>
      <c r="O630" s="3"/>
      <c r="P630" s="3"/>
      <c r="Q630" s="3"/>
    </row>
    <row r="631" customFormat="false" ht="15" hidden="false" customHeight="false" outlineLevel="0" collapsed="false">
      <c r="A631" s="2" t="s">
        <v>50</v>
      </c>
      <c r="B631" s="2" t="n">
        <v>5</v>
      </c>
      <c r="C631" s="2" t="n">
        <v>157</v>
      </c>
      <c r="D631" s="2" t="n">
        <v>1</v>
      </c>
      <c r="E631" s="2" t="n">
        <v>300</v>
      </c>
      <c r="F631" s="2" t="n">
        <v>60</v>
      </c>
      <c r="G631" s="2" t="s">
        <v>37</v>
      </c>
      <c r="H631" s="6" t="str">
        <f aca="false">A631&amp;"_"&amp;B631</f>
        <v>jureia_5</v>
      </c>
      <c r="I631" s="6" t="str">
        <f aca="false">H631&amp;"_"&amp;C631&amp;"_"&amp;G631</f>
        <v>jureia_5_157_Tabebuia cassinoides</v>
      </c>
      <c r="J631" s="6" t="n">
        <f aca="false">IF(COUNTIF($I$2:I631,I631)=1,1,0)</f>
        <v>1</v>
      </c>
      <c r="K631" s="6" t="n">
        <f aca="false">E631*$Q$2</f>
        <v>30</v>
      </c>
      <c r="L631" s="7" t="n">
        <f aca="false">K631/PI()</f>
        <v>9.54929658551372</v>
      </c>
      <c r="M631" s="8" t="n">
        <f aca="false">PI()*L631^2/40000</f>
        <v>0.00716197243913529</v>
      </c>
      <c r="N631" s="7" t="n">
        <f aca="false">F631*$Q$3</f>
        <v>6</v>
      </c>
      <c r="O631" s="3"/>
      <c r="P631" s="3"/>
      <c r="Q631" s="3"/>
    </row>
    <row r="632" customFormat="false" ht="15" hidden="false" customHeight="false" outlineLevel="0" collapsed="false">
      <c r="A632" s="2" t="s">
        <v>50</v>
      </c>
      <c r="B632" s="2" t="n">
        <v>5</v>
      </c>
      <c r="C632" s="2" t="n">
        <v>158</v>
      </c>
      <c r="D632" s="2" t="n">
        <v>1</v>
      </c>
      <c r="E632" s="2" t="n">
        <v>340</v>
      </c>
      <c r="F632" s="2" t="n">
        <v>80</v>
      </c>
      <c r="G632" s="2" t="s">
        <v>44</v>
      </c>
      <c r="H632" s="6" t="str">
        <f aca="false">A632&amp;"_"&amp;B632</f>
        <v>jureia_5</v>
      </c>
      <c r="I632" s="6" t="str">
        <f aca="false">H632&amp;"_"&amp;C632&amp;"_"&amp;G632</f>
        <v>jureia_5_158_Psidium sp</v>
      </c>
      <c r="J632" s="6" t="n">
        <f aca="false">IF(COUNTIF($I$2:I632,I632)=1,1,0)</f>
        <v>1</v>
      </c>
      <c r="K632" s="6" t="n">
        <f aca="false">E632*$Q$2</f>
        <v>34</v>
      </c>
      <c r="L632" s="7" t="n">
        <f aca="false">K632/PI()</f>
        <v>10.8225361302489</v>
      </c>
      <c r="M632" s="8" t="n">
        <f aca="false">PI()*L632^2/40000</f>
        <v>0.00919915571071155</v>
      </c>
      <c r="N632" s="7" t="n">
        <f aca="false">F632*$Q$3</f>
        <v>8</v>
      </c>
      <c r="O632" s="3"/>
      <c r="P632" s="3"/>
      <c r="Q632" s="3"/>
    </row>
    <row r="633" customFormat="false" ht="15" hidden="false" customHeight="false" outlineLevel="0" collapsed="false">
      <c r="A633" s="2" t="s">
        <v>50</v>
      </c>
      <c r="B633" s="2" t="n">
        <v>5</v>
      </c>
      <c r="C633" s="2" t="n">
        <v>159</v>
      </c>
      <c r="D633" s="2" t="n">
        <v>1</v>
      </c>
      <c r="E633" s="2" t="n">
        <v>330</v>
      </c>
      <c r="F633" s="2" t="n">
        <v>50</v>
      </c>
      <c r="G633" s="2" t="s">
        <v>66</v>
      </c>
      <c r="H633" s="6" t="str">
        <f aca="false">A633&amp;"_"&amp;B633</f>
        <v>jureia_5</v>
      </c>
      <c r="I633" s="6" t="str">
        <f aca="false">H633&amp;"_"&amp;C633&amp;"_"&amp;G633</f>
        <v>jureia_5_159_Inga sp</v>
      </c>
      <c r="J633" s="6" t="n">
        <f aca="false">IF(COUNTIF($I$2:I633,I633)=1,1,0)</f>
        <v>1</v>
      </c>
      <c r="K633" s="6" t="n">
        <f aca="false">E633*$Q$2</f>
        <v>33</v>
      </c>
      <c r="L633" s="7" t="n">
        <f aca="false">K633/PI()</f>
        <v>10.5042262440651</v>
      </c>
      <c r="M633" s="8" t="n">
        <f aca="false">PI()*L633^2/40000</f>
        <v>0.0086659866513537</v>
      </c>
      <c r="N633" s="7" t="n">
        <f aca="false">F633*$Q$3</f>
        <v>5</v>
      </c>
      <c r="O633" s="3"/>
      <c r="P633" s="3"/>
      <c r="Q633" s="3"/>
    </row>
    <row r="634" customFormat="false" ht="15" hidden="false" customHeight="false" outlineLevel="0" collapsed="false">
      <c r="A634" s="2" t="s">
        <v>50</v>
      </c>
      <c r="B634" s="2" t="n">
        <v>5</v>
      </c>
      <c r="C634" s="2" t="n">
        <v>160</v>
      </c>
      <c r="D634" s="2" t="n">
        <v>1</v>
      </c>
      <c r="E634" s="2" t="n">
        <v>210</v>
      </c>
      <c r="F634" s="2" t="n">
        <v>120</v>
      </c>
      <c r="G634" s="2" t="s">
        <v>44</v>
      </c>
      <c r="H634" s="6" t="str">
        <f aca="false">A634&amp;"_"&amp;B634</f>
        <v>jureia_5</v>
      </c>
      <c r="I634" s="6" t="str">
        <f aca="false">H634&amp;"_"&amp;C634&amp;"_"&amp;G634</f>
        <v>jureia_5_160_Psidium sp</v>
      </c>
      <c r="J634" s="6" t="n">
        <f aca="false">IF(COUNTIF($I$2:I634,I634)=1,1,0)</f>
        <v>1</v>
      </c>
      <c r="K634" s="6" t="n">
        <f aca="false">E634*$Q$2</f>
        <v>21</v>
      </c>
      <c r="L634" s="7" t="n">
        <f aca="false">K634/PI()</f>
        <v>6.68450760985961</v>
      </c>
      <c r="M634" s="8" t="n">
        <f aca="false">PI()*L634^2/40000</f>
        <v>0.00350936649517629</v>
      </c>
      <c r="N634" s="7" t="n">
        <f aca="false">F634*$Q$3</f>
        <v>12</v>
      </c>
      <c r="O634" s="3"/>
      <c r="P634" s="3"/>
      <c r="Q634" s="3"/>
    </row>
    <row r="635" customFormat="false" ht="15" hidden="false" customHeight="false" outlineLevel="0" collapsed="false">
      <c r="A635" s="2" t="s">
        <v>50</v>
      </c>
      <c r="B635" s="2" t="n">
        <v>5</v>
      </c>
      <c r="C635" s="2" t="n">
        <v>160</v>
      </c>
      <c r="D635" s="2" t="n">
        <v>2</v>
      </c>
      <c r="E635" s="2" t="n">
        <v>190</v>
      </c>
      <c r="F635" s="2" t="n">
        <v>120</v>
      </c>
      <c r="G635" s="2" t="s">
        <v>44</v>
      </c>
      <c r="H635" s="6" t="str">
        <f aca="false">A635&amp;"_"&amp;B635</f>
        <v>jureia_5</v>
      </c>
      <c r="I635" s="6" t="str">
        <f aca="false">H635&amp;"_"&amp;C635&amp;"_"&amp;G635</f>
        <v>jureia_5_160_Psidium sp</v>
      </c>
      <c r="J635" s="6" t="n">
        <f aca="false">IF(COUNTIF($I$2:I635,I635)=1,1,0)</f>
        <v>0</v>
      </c>
      <c r="K635" s="6" t="n">
        <f aca="false">E635*$Q$2</f>
        <v>19</v>
      </c>
      <c r="L635" s="7" t="n">
        <f aca="false">K635/PI()</f>
        <v>6.04788783749202</v>
      </c>
      <c r="M635" s="8" t="n">
        <f aca="false">PI()*L635^2/40000</f>
        <v>0.00287274672280871</v>
      </c>
      <c r="N635" s="7" t="n">
        <f aca="false">F635*$Q$3</f>
        <v>12</v>
      </c>
      <c r="O635" s="3"/>
      <c r="P635" s="3"/>
      <c r="Q635" s="3"/>
    </row>
    <row r="636" customFormat="false" ht="15" hidden="false" customHeight="false" outlineLevel="0" collapsed="false">
      <c r="A636" s="2" t="s">
        <v>50</v>
      </c>
      <c r="B636" s="2" t="n">
        <v>5</v>
      </c>
      <c r="C636" s="2" t="n">
        <v>160</v>
      </c>
      <c r="D636" s="2" t="n">
        <v>3</v>
      </c>
      <c r="E636" s="2" t="n">
        <v>290</v>
      </c>
      <c r="F636" s="2" t="n">
        <v>120</v>
      </c>
      <c r="G636" s="2" t="s">
        <v>44</v>
      </c>
      <c r="H636" s="6" t="str">
        <f aca="false">A636&amp;"_"&amp;B636</f>
        <v>jureia_5</v>
      </c>
      <c r="I636" s="6" t="str">
        <f aca="false">H636&amp;"_"&amp;C636&amp;"_"&amp;G636</f>
        <v>jureia_5_160_Psidium sp</v>
      </c>
      <c r="J636" s="6" t="n">
        <f aca="false">IF(COUNTIF($I$2:I636,I636)=1,1,0)</f>
        <v>0</v>
      </c>
      <c r="K636" s="6" t="n">
        <f aca="false">E636*$Q$2</f>
        <v>29</v>
      </c>
      <c r="L636" s="7" t="n">
        <f aca="false">K636/PI()</f>
        <v>9.23098669932993</v>
      </c>
      <c r="M636" s="8" t="n">
        <f aca="false">PI()*L636^2/40000</f>
        <v>0.0066924653570142</v>
      </c>
      <c r="N636" s="7" t="n">
        <f aca="false">F636*$Q$3</f>
        <v>12</v>
      </c>
      <c r="O636" s="3"/>
      <c r="P636" s="3"/>
      <c r="Q636" s="3"/>
    </row>
    <row r="637" customFormat="false" ht="15" hidden="false" customHeight="false" outlineLevel="0" collapsed="false">
      <c r="A637" s="2" t="s">
        <v>50</v>
      </c>
      <c r="B637" s="2" t="n">
        <v>5</v>
      </c>
      <c r="C637" s="2" t="n">
        <v>160</v>
      </c>
      <c r="D637" s="2" t="n">
        <v>4</v>
      </c>
      <c r="E637" s="2" t="n">
        <v>180</v>
      </c>
      <c r="F637" s="2" t="n">
        <v>120</v>
      </c>
      <c r="G637" s="2" t="s">
        <v>44</v>
      </c>
      <c r="H637" s="6" t="str">
        <f aca="false">A637&amp;"_"&amp;B637</f>
        <v>jureia_5</v>
      </c>
      <c r="I637" s="6" t="str">
        <f aca="false">H637&amp;"_"&amp;C637&amp;"_"&amp;G637</f>
        <v>jureia_5_160_Psidium sp</v>
      </c>
      <c r="J637" s="6" t="n">
        <f aca="false">IF(COUNTIF($I$2:I637,I637)=1,1,0)</f>
        <v>0</v>
      </c>
      <c r="K637" s="6" t="n">
        <f aca="false">E637*$Q$2</f>
        <v>18</v>
      </c>
      <c r="L637" s="7" t="n">
        <f aca="false">K637/PI()</f>
        <v>5.72957795130823</v>
      </c>
      <c r="M637" s="8" t="n">
        <f aca="false">PI()*L637^2/40000</f>
        <v>0.0025783100780887</v>
      </c>
      <c r="N637" s="7" t="n">
        <f aca="false">F637*$Q$3</f>
        <v>12</v>
      </c>
      <c r="O637" s="3"/>
      <c r="P637" s="3"/>
      <c r="Q637" s="3"/>
    </row>
    <row r="638" customFormat="false" ht="15" hidden="false" customHeight="false" outlineLevel="0" collapsed="false">
      <c r="A638" s="2" t="s">
        <v>50</v>
      </c>
      <c r="B638" s="2" t="n">
        <v>5</v>
      </c>
      <c r="C638" s="2" t="n">
        <v>160</v>
      </c>
      <c r="D638" s="2" t="n">
        <v>5</v>
      </c>
      <c r="E638" s="2" t="n">
        <v>220</v>
      </c>
      <c r="F638" s="2" t="n">
        <v>120</v>
      </c>
      <c r="G638" s="2" t="s">
        <v>44</v>
      </c>
      <c r="H638" s="6" t="str">
        <f aca="false">A638&amp;"_"&amp;B638</f>
        <v>jureia_5</v>
      </c>
      <c r="I638" s="6" t="str">
        <f aca="false">H638&amp;"_"&amp;C638&amp;"_"&amp;G638</f>
        <v>jureia_5_160_Psidium sp</v>
      </c>
      <c r="J638" s="6" t="n">
        <f aca="false">IF(COUNTIF($I$2:I638,I638)=1,1,0)</f>
        <v>0</v>
      </c>
      <c r="K638" s="6" t="n">
        <f aca="false">E638*$Q$2</f>
        <v>22</v>
      </c>
      <c r="L638" s="7" t="n">
        <f aca="false">K638/PI()</f>
        <v>7.0028174960434</v>
      </c>
      <c r="M638" s="8" t="n">
        <f aca="false">PI()*L638^2/40000</f>
        <v>0.00385154962282387</v>
      </c>
      <c r="N638" s="7" t="n">
        <f aca="false">F638*$Q$3</f>
        <v>12</v>
      </c>
      <c r="O638" s="3"/>
      <c r="P638" s="3"/>
      <c r="Q638" s="3"/>
    </row>
    <row r="639" customFormat="false" ht="15" hidden="false" customHeight="false" outlineLevel="0" collapsed="false">
      <c r="A639" s="2" t="s">
        <v>50</v>
      </c>
      <c r="B639" s="2" t="n">
        <v>5</v>
      </c>
      <c r="C639" s="2" t="n">
        <v>160</v>
      </c>
      <c r="D639" s="2" t="n">
        <v>6</v>
      </c>
      <c r="E639" s="2" t="n">
        <v>320</v>
      </c>
      <c r="F639" s="2" t="n">
        <v>120</v>
      </c>
      <c r="G639" s="2" t="s">
        <v>44</v>
      </c>
      <c r="H639" s="6" t="str">
        <f aca="false">A639&amp;"_"&amp;B639</f>
        <v>jureia_5</v>
      </c>
      <c r="I639" s="6" t="str">
        <f aca="false">H639&amp;"_"&amp;C639&amp;"_"&amp;G639</f>
        <v>jureia_5_160_Psidium sp</v>
      </c>
      <c r="J639" s="6" t="n">
        <f aca="false">IF(COUNTIF($I$2:I639,I639)=1,1,0)</f>
        <v>0</v>
      </c>
      <c r="K639" s="6" t="n">
        <f aca="false">E639*$Q$2</f>
        <v>32</v>
      </c>
      <c r="L639" s="7" t="n">
        <f aca="false">K639/PI()</f>
        <v>10.1859163578813</v>
      </c>
      <c r="M639" s="8" t="n">
        <f aca="false">PI()*L639^2/40000</f>
        <v>0.00814873308630504</v>
      </c>
      <c r="N639" s="7" t="n">
        <f aca="false">F639*$Q$3</f>
        <v>12</v>
      </c>
      <c r="O639" s="3"/>
      <c r="P639" s="3"/>
      <c r="Q639" s="3"/>
    </row>
    <row r="640" customFormat="false" ht="15" hidden="false" customHeight="false" outlineLevel="0" collapsed="false">
      <c r="A640" s="2" t="s">
        <v>50</v>
      </c>
      <c r="B640" s="2" t="n">
        <v>5</v>
      </c>
      <c r="C640" s="2" t="n">
        <v>161</v>
      </c>
      <c r="D640" s="2" t="n">
        <v>1</v>
      </c>
      <c r="E640" s="2" t="n">
        <v>360</v>
      </c>
      <c r="F640" s="2" t="n">
        <v>90</v>
      </c>
      <c r="G640" s="2" t="s">
        <v>66</v>
      </c>
      <c r="H640" s="6" t="str">
        <f aca="false">A640&amp;"_"&amp;B640</f>
        <v>jureia_5</v>
      </c>
      <c r="I640" s="6" t="str">
        <f aca="false">H640&amp;"_"&amp;C640&amp;"_"&amp;G640</f>
        <v>jureia_5_161_Inga sp</v>
      </c>
      <c r="J640" s="6" t="n">
        <f aca="false">IF(COUNTIF($I$2:I640,I640)=1,1,0)</f>
        <v>1</v>
      </c>
      <c r="K640" s="6" t="n">
        <f aca="false">E640*$Q$2</f>
        <v>36</v>
      </c>
      <c r="L640" s="7" t="n">
        <f aca="false">K640/PI()</f>
        <v>11.4591559026165</v>
      </c>
      <c r="M640" s="8" t="n">
        <f aca="false">PI()*L640^2/40000</f>
        <v>0.0103132403123548</v>
      </c>
      <c r="N640" s="7" t="n">
        <f aca="false">F640*$Q$3</f>
        <v>9</v>
      </c>
      <c r="O640" s="3"/>
      <c r="P640" s="3"/>
      <c r="Q640" s="3"/>
    </row>
    <row r="641" customFormat="false" ht="15" hidden="false" customHeight="false" outlineLevel="0" collapsed="false">
      <c r="A641" s="2" t="s">
        <v>50</v>
      </c>
      <c r="B641" s="2" t="n">
        <v>5</v>
      </c>
      <c r="C641" s="2" t="n">
        <v>162</v>
      </c>
      <c r="D641" s="2" t="n">
        <v>1</v>
      </c>
      <c r="E641" s="2" t="n">
        <v>490</v>
      </c>
      <c r="F641" s="2" t="n">
        <v>80</v>
      </c>
      <c r="G641" s="2" t="s">
        <v>44</v>
      </c>
      <c r="H641" s="6" t="str">
        <f aca="false">A641&amp;"_"&amp;B641</f>
        <v>jureia_5</v>
      </c>
      <c r="I641" s="6" t="str">
        <f aca="false">H641&amp;"_"&amp;C641&amp;"_"&amp;G641</f>
        <v>jureia_5_162_Psidium sp</v>
      </c>
      <c r="J641" s="6" t="n">
        <f aca="false">IF(COUNTIF($I$2:I641,I641)=1,1,0)</f>
        <v>1</v>
      </c>
      <c r="K641" s="6" t="n">
        <f aca="false">E641*$Q$2</f>
        <v>49</v>
      </c>
      <c r="L641" s="7" t="n">
        <f aca="false">K641/PI()</f>
        <v>15.5971844230057</v>
      </c>
      <c r="M641" s="8" t="n">
        <f aca="false">PI()*L641^2/40000</f>
        <v>0.019106550918182</v>
      </c>
      <c r="N641" s="7" t="n">
        <f aca="false">F641*$Q$3</f>
        <v>8</v>
      </c>
      <c r="O641" s="3"/>
      <c r="P641" s="3"/>
      <c r="Q641" s="3"/>
    </row>
    <row r="642" customFormat="false" ht="15" hidden="false" customHeight="false" outlineLevel="0" collapsed="false">
      <c r="A642" s="2" t="s">
        <v>50</v>
      </c>
      <c r="B642" s="2" t="n">
        <v>5</v>
      </c>
      <c r="C642" s="2" t="n">
        <v>163</v>
      </c>
      <c r="D642" s="2" t="n">
        <v>1</v>
      </c>
      <c r="E642" s="2" t="n">
        <v>510</v>
      </c>
      <c r="F642" s="2" t="n">
        <v>110</v>
      </c>
      <c r="G642" s="2" t="s">
        <v>37</v>
      </c>
      <c r="H642" s="6" t="str">
        <f aca="false">A642&amp;"_"&amp;B642</f>
        <v>jureia_5</v>
      </c>
      <c r="I642" s="6" t="str">
        <f aca="false">H642&amp;"_"&amp;C642&amp;"_"&amp;G642</f>
        <v>jureia_5_163_Tabebuia cassinoides</v>
      </c>
      <c r="J642" s="6" t="n">
        <f aca="false">IF(COUNTIF($I$2:I642,I642)=1,1,0)</f>
        <v>1</v>
      </c>
      <c r="K642" s="6" t="n">
        <f aca="false">E642*$Q$2</f>
        <v>51</v>
      </c>
      <c r="L642" s="7" t="n">
        <f aca="false">K642/PI()</f>
        <v>16.2338041953733</v>
      </c>
      <c r="M642" s="8" t="n">
        <f aca="false">PI()*L642^2/40000</f>
        <v>0.020698100349101</v>
      </c>
      <c r="N642" s="7" t="n">
        <f aca="false">F642*$Q$3</f>
        <v>11</v>
      </c>
      <c r="O642" s="3"/>
      <c r="P642" s="3"/>
      <c r="Q642" s="3"/>
    </row>
    <row r="643" customFormat="false" ht="15" hidden="false" customHeight="false" outlineLevel="0" collapsed="false">
      <c r="A643" s="2" t="s">
        <v>50</v>
      </c>
      <c r="B643" s="2" t="n">
        <v>5</v>
      </c>
      <c r="C643" s="2" t="n">
        <v>163</v>
      </c>
      <c r="D643" s="2" t="n">
        <v>2</v>
      </c>
      <c r="E643" s="2" t="n">
        <v>470</v>
      </c>
      <c r="F643" s="2" t="n">
        <v>110</v>
      </c>
      <c r="G643" s="2" t="s">
        <v>37</v>
      </c>
      <c r="H643" s="6" t="str">
        <f aca="false">A643&amp;"_"&amp;B643</f>
        <v>jureia_5</v>
      </c>
      <c r="I643" s="6" t="str">
        <f aca="false">H643&amp;"_"&amp;C643&amp;"_"&amp;G643</f>
        <v>jureia_5_163_Tabebuia cassinoides</v>
      </c>
      <c r="J643" s="6" t="n">
        <f aca="false">IF(COUNTIF($I$2:I643,I643)=1,1,0)</f>
        <v>0</v>
      </c>
      <c r="K643" s="6" t="n">
        <f aca="false">E643*$Q$2</f>
        <v>47</v>
      </c>
      <c r="L643" s="7" t="n">
        <f aca="false">K643/PI()</f>
        <v>14.9605646506382</v>
      </c>
      <c r="M643" s="8" t="n">
        <f aca="false">PI()*L643^2/40000</f>
        <v>0.0175786634644998</v>
      </c>
      <c r="N643" s="7" t="n">
        <f aca="false">F643*$Q$3</f>
        <v>11</v>
      </c>
      <c r="O643" s="3"/>
      <c r="P643" s="3"/>
      <c r="Q643" s="3"/>
    </row>
    <row r="644" customFormat="false" ht="15" hidden="false" customHeight="false" outlineLevel="0" collapsed="false">
      <c r="A644" s="2" t="s">
        <v>50</v>
      </c>
      <c r="B644" s="2" t="n">
        <v>5</v>
      </c>
      <c r="C644" s="2" t="n">
        <v>163</v>
      </c>
      <c r="D644" s="2" t="n">
        <v>3</v>
      </c>
      <c r="E644" s="2" t="n">
        <v>460</v>
      </c>
      <c r="F644" s="2" t="n">
        <v>110</v>
      </c>
      <c r="G644" s="2" t="s">
        <v>37</v>
      </c>
      <c r="H644" s="6" t="str">
        <f aca="false">A644&amp;"_"&amp;B644</f>
        <v>jureia_5</v>
      </c>
      <c r="I644" s="6" t="str">
        <f aca="false">H644&amp;"_"&amp;C644&amp;"_"&amp;G644</f>
        <v>jureia_5_163_Tabebuia cassinoides</v>
      </c>
      <c r="J644" s="6" t="n">
        <f aca="false">IF(COUNTIF($I$2:I644,I644)=1,1,0)</f>
        <v>0</v>
      </c>
      <c r="K644" s="6" t="n">
        <f aca="false">E644*$Q$2</f>
        <v>46</v>
      </c>
      <c r="L644" s="7" t="n">
        <f aca="false">K644/PI()</f>
        <v>14.6422547644544</v>
      </c>
      <c r="M644" s="8" t="n">
        <f aca="false">PI()*L644^2/40000</f>
        <v>0.0168385929791225</v>
      </c>
      <c r="N644" s="7" t="n">
        <f aca="false">F644*$Q$3</f>
        <v>11</v>
      </c>
      <c r="O644" s="3"/>
      <c r="P644" s="3"/>
      <c r="Q644" s="3"/>
    </row>
    <row r="645" customFormat="false" ht="15" hidden="false" customHeight="false" outlineLevel="0" collapsed="false">
      <c r="A645" s="2" t="s">
        <v>50</v>
      </c>
      <c r="B645" s="2" t="n">
        <v>5</v>
      </c>
      <c r="C645" s="2" t="n">
        <v>163</v>
      </c>
      <c r="D645" s="2" t="n">
        <v>4</v>
      </c>
      <c r="E645" s="2" t="n">
        <v>270</v>
      </c>
      <c r="F645" s="2" t="n">
        <v>110</v>
      </c>
      <c r="G645" s="2" t="s">
        <v>37</v>
      </c>
      <c r="H645" s="6" t="str">
        <f aca="false">A645&amp;"_"&amp;B645</f>
        <v>jureia_5</v>
      </c>
      <c r="I645" s="6" t="str">
        <f aca="false">H645&amp;"_"&amp;C645&amp;"_"&amp;G645</f>
        <v>jureia_5_163_Tabebuia cassinoides</v>
      </c>
      <c r="J645" s="6" t="n">
        <f aca="false">IF(COUNTIF($I$2:I645,I645)=1,1,0)</f>
        <v>0</v>
      </c>
      <c r="K645" s="6" t="n">
        <f aca="false">E645*$Q$2</f>
        <v>27</v>
      </c>
      <c r="L645" s="7" t="n">
        <f aca="false">K645/PI()</f>
        <v>8.59436692696235</v>
      </c>
      <c r="M645" s="8" t="n">
        <f aca="false">PI()*L645^2/40000</f>
        <v>0.00580119767569958</v>
      </c>
      <c r="N645" s="7" t="n">
        <f aca="false">F645*$Q$3</f>
        <v>11</v>
      </c>
      <c r="O645" s="3"/>
      <c r="P645" s="3"/>
      <c r="Q645" s="3"/>
    </row>
    <row r="646" customFormat="false" ht="15" hidden="false" customHeight="false" outlineLevel="0" collapsed="false">
      <c r="A646" s="2" t="s">
        <v>50</v>
      </c>
      <c r="B646" s="2" t="n">
        <v>5</v>
      </c>
      <c r="C646" s="2" t="n">
        <v>163</v>
      </c>
      <c r="D646" s="2" t="n">
        <v>5</v>
      </c>
      <c r="E646" s="2" t="n">
        <v>290</v>
      </c>
      <c r="F646" s="2" t="n">
        <v>110</v>
      </c>
      <c r="G646" s="2" t="s">
        <v>37</v>
      </c>
      <c r="H646" s="6" t="str">
        <f aca="false">A646&amp;"_"&amp;B646</f>
        <v>jureia_5</v>
      </c>
      <c r="I646" s="6" t="str">
        <f aca="false">H646&amp;"_"&amp;C646&amp;"_"&amp;G646</f>
        <v>jureia_5_163_Tabebuia cassinoides</v>
      </c>
      <c r="J646" s="6" t="n">
        <f aca="false">IF(COUNTIF($I$2:I646,I646)=1,1,0)</f>
        <v>0</v>
      </c>
      <c r="K646" s="6" t="n">
        <f aca="false">E646*$Q$2</f>
        <v>29</v>
      </c>
      <c r="L646" s="7" t="n">
        <f aca="false">K646/PI()</f>
        <v>9.23098669932993</v>
      </c>
      <c r="M646" s="8" t="n">
        <f aca="false">PI()*L646^2/40000</f>
        <v>0.0066924653570142</v>
      </c>
      <c r="N646" s="7" t="n">
        <f aca="false">F646*$Q$3</f>
        <v>11</v>
      </c>
      <c r="O646" s="3"/>
      <c r="P646" s="3"/>
      <c r="Q646" s="3"/>
    </row>
    <row r="647" customFormat="false" ht="15" hidden="false" customHeight="false" outlineLevel="0" collapsed="false">
      <c r="A647" s="2" t="s">
        <v>50</v>
      </c>
      <c r="B647" s="2" t="n">
        <v>5</v>
      </c>
      <c r="C647" s="2" t="n">
        <v>164</v>
      </c>
      <c r="D647" s="2" t="n">
        <v>1</v>
      </c>
      <c r="E647" s="2" t="n">
        <v>270</v>
      </c>
      <c r="F647" s="2" t="n">
        <v>70</v>
      </c>
      <c r="G647" s="2" t="s">
        <v>61</v>
      </c>
      <c r="H647" s="6" t="str">
        <f aca="false">A647&amp;"_"&amp;B647</f>
        <v>jureia_5</v>
      </c>
      <c r="I647" s="6" t="str">
        <f aca="false">H647&amp;"_"&amp;C647&amp;"_"&amp;G647</f>
        <v>jureia_5_164_Andira fraxinifolia</v>
      </c>
      <c r="J647" s="6" t="n">
        <f aca="false">IF(COUNTIF($I$2:I647,I647)=1,1,0)</f>
        <v>1</v>
      </c>
      <c r="K647" s="6" t="n">
        <f aca="false">E647*$Q$2</f>
        <v>27</v>
      </c>
      <c r="L647" s="7" t="n">
        <f aca="false">K647/PI()</f>
        <v>8.59436692696235</v>
      </c>
      <c r="M647" s="8" t="n">
        <f aca="false">PI()*L647^2/40000</f>
        <v>0.00580119767569958</v>
      </c>
      <c r="N647" s="7" t="n">
        <f aca="false">F647*$Q$3</f>
        <v>7</v>
      </c>
      <c r="O647" s="3"/>
      <c r="P647" s="3"/>
      <c r="Q647" s="3"/>
    </row>
    <row r="648" customFormat="false" ht="15" hidden="false" customHeight="false" outlineLevel="0" collapsed="false">
      <c r="A648" s="2" t="s">
        <v>50</v>
      </c>
      <c r="B648" s="2" t="n">
        <v>5</v>
      </c>
      <c r="C648" s="2" t="n">
        <v>170</v>
      </c>
      <c r="D648" s="2" t="n">
        <v>1</v>
      </c>
      <c r="E648" s="2" t="n">
        <v>380</v>
      </c>
      <c r="F648" s="2" t="n">
        <v>100</v>
      </c>
      <c r="G648" s="2" t="s">
        <v>37</v>
      </c>
      <c r="H648" s="6" t="str">
        <f aca="false">A648&amp;"_"&amp;B648</f>
        <v>jureia_5</v>
      </c>
      <c r="I648" s="6" t="str">
        <f aca="false">H648&amp;"_"&amp;C648&amp;"_"&amp;G648</f>
        <v>jureia_5_170_Tabebuia cassinoides</v>
      </c>
      <c r="J648" s="6" t="n">
        <f aca="false">IF(COUNTIF($I$2:I648,I648)=1,1,0)</f>
        <v>1</v>
      </c>
      <c r="K648" s="6" t="n">
        <f aca="false">E648*$Q$2</f>
        <v>38</v>
      </c>
      <c r="L648" s="7" t="n">
        <f aca="false">K648/PI()</f>
        <v>12.095775674984</v>
      </c>
      <c r="M648" s="8" t="n">
        <f aca="false">PI()*L648^2/40000</f>
        <v>0.0114909868912348</v>
      </c>
      <c r="N648" s="7" t="n">
        <f aca="false">F648*$Q$3</f>
        <v>10</v>
      </c>
      <c r="O648" s="3"/>
      <c r="P648" s="3"/>
      <c r="Q648" s="3"/>
    </row>
    <row r="649" customFormat="false" ht="15" hidden="false" customHeight="false" outlineLevel="0" collapsed="false">
      <c r="A649" s="2" t="s">
        <v>50</v>
      </c>
      <c r="B649" s="2" t="n">
        <v>5</v>
      </c>
      <c r="C649" s="2" t="n">
        <v>170</v>
      </c>
      <c r="D649" s="2" t="n">
        <v>2</v>
      </c>
      <c r="E649" s="2" t="n">
        <v>370</v>
      </c>
      <c r="F649" s="2" t="n">
        <v>100</v>
      </c>
      <c r="G649" s="2" t="s">
        <v>37</v>
      </c>
      <c r="H649" s="6" t="str">
        <f aca="false">A649&amp;"_"&amp;B649</f>
        <v>jureia_5</v>
      </c>
      <c r="I649" s="6" t="str">
        <f aca="false">H649&amp;"_"&amp;C649&amp;"_"&amp;G649</f>
        <v>jureia_5_170_Tabebuia cassinoides</v>
      </c>
      <c r="J649" s="6" t="n">
        <f aca="false">IF(COUNTIF($I$2:I649,I649)=1,1,0)</f>
        <v>0</v>
      </c>
      <c r="K649" s="6" t="n">
        <f aca="false">E649*$Q$2</f>
        <v>37</v>
      </c>
      <c r="L649" s="7" t="n">
        <f aca="false">K649/PI()</f>
        <v>11.7774657888003</v>
      </c>
      <c r="M649" s="8" t="n">
        <f aca="false">PI()*L649^2/40000</f>
        <v>0.0108941558546402</v>
      </c>
      <c r="N649" s="7" t="n">
        <f aca="false">F649*$Q$3</f>
        <v>10</v>
      </c>
      <c r="O649" s="3"/>
      <c r="P649" s="3"/>
      <c r="Q649" s="3"/>
    </row>
    <row r="650" customFormat="false" ht="15" hidden="false" customHeight="false" outlineLevel="0" collapsed="false">
      <c r="A650" s="2" t="s">
        <v>50</v>
      </c>
      <c r="B650" s="2" t="n">
        <v>5</v>
      </c>
      <c r="C650" s="2" t="n">
        <v>170</v>
      </c>
      <c r="D650" s="2" t="n">
        <v>3</v>
      </c>
      <c r="E650" s="2" t="n">
        <v>280</v>
      </c>
      <c r="F650" s="2" t="n">
        <v>100</v>
      </c>
      <c r="G650" s="2" t="s">
        <v>37</v>
      </c>
      <c r="H650" s="6" t="str">
        <f aca="false">A650&amp;"_"&amp;B650</f>
        <v>jureia_5</v>
      </c>
      <c r="I650" s="6" t="str">
        <f aca="false">H650&amp;"_"&amp;C650&amp;"_"&amp;G650</f>
        <v>jureia_5_170_Tabebuia cassinoides</v>
      </c>
      <c r="J650" s="6" t="n">
        <f aca="false">IF(COUNTIF($I$2:I650,I650)=1,1,0)</f>
        <v>0</v>
      </c>
      <c r="K650" s="6" t="n">
        <f aca="false">E650*$Q$2</f>
        <v>28</v>
      </c>
      <c r="L650" s="7" t="n">
        <f aca="false">K650/PI()</f>
        <v>8.91267681314614</v>
      </c>
      <c r="M650" s="8" t="n">
        <f aca="false">PI()*L650^2/40000</f>
        <v>0.0062388737692023</v>
      </c>
      <c r="N650" s="7" t="n">
        <f aca="false">F650*$Q$3</f>
        <v>10</v>
      </c>
      <c r="O650" s="3"/>
      <c r="P650" s="3"/>
      <c r="Q650" s="3"/>
    </row>
    <row r="651" customFormat="false" ht="15" hidden="false" customHeight="false" outlineLevel="0" collapsed="false">
      <c r="A651" s="2" t="s">
        <v>50</v>
      </c>
      <c r="B651" s="2" t="n">
        <v>5</v>
      </c>
      <c r="C651" s="2" t="n">
        <v>171</v>
      </c>
      <c r="D651" s="2" t="n">
        <v>1</v>
      </c>
      <c r="E651" s="2" t="n">
        <v>310</v>
      </c>
      <c r="F651" s="2" t="n">
        <v>100</v>
      </c>
      <c r="G651" s="2" t="s">
        <v>37</v>
      </c>
      <c r="H651" s="6" t="str">
        <f aca="false">A651&amp;"_"&amp;B651</f>
        <v>jureia_5</v>
      </c>
      <c r="I651" s="6" t="str">
        <f aca="false">H651&amp;"_"&amp;C651&amp;"_"&amp;G651</f>
        <v>jureia_5_171_Tabebuia cassinoides</v>
      </c>
      <c r="J651" s="6" t="n">
        <f aca="false">IF(COUNTIF($I$2:I651,I651)=1,1,0)</f>
        <v>1</v>
      </c>
      <c r="K651" s="6" t="n">
        <f aca="false">E651*$Q$2</f>
        <v>31</v>
      </c>
      <c r="L651" s="7" t="n">
        <f aca="false">K651/PI()</f>
        <v>9.86760647169751</v>
      </c>
      <c r="M651" s="8" t="n">
        <f aca="false">PI()*L651^2/40000</f>
        <v>0.00764739501556557</v>
      </c>
      <c r="N651" s="7" t="n">
        <f aca="false">F651*$Q$3</f>
        <v>10</v>
      </c>
      <c r="O651" s="3"/>
      <c r="P651" s="3"/>
      <c r="Q651" s="3"/>
    </row>
    <row r="652" customFormat="false" ht="15" hidden="false" customHeight="false" outlineLevel="0" collapsed="false">
      <c r="A652" s="2" t="s">
        <v>50</v>
      </c>
      <c r="B652" s="2" t="n">
        <v>5</v>
      </c>
      <c r="C652" s="2" t="n">
        <v>171</v>
      </c>
      <c r="D652" s="2" t="n">
        <v>2</v>
      </c>
      <c r="E652" s="2" t="n">
        <v>330</v>
      </c>
      <c r="F652" s="2" t="n">
        <v>100</v>
      </c>
      <c r="G652" s="2" t="s">
        <v>37</v>
      </c>
      <c r="H652" s="6" t="str">
        <f aca="false">A652&amp;"_"&amp;B652</f>
        <v>jureia_5</v>
      </c>
      <c r="I652" s="6" t="str">
        <f aca="false">H652&amp;"_"&amp;C652&amp;"_"&amp;G652</f>
        <v>jureia_5_171_Tabebuia cassinoides</v>
      </c>
      <c r="J652" s="6" t="n">
        <f aca="false">IF(COUNTIF($I$2:I652,I652)=1,1,0)</f>
        <v>0</v>
      </c>
      <c r="K652" s="6" t="n">
        <f aca="false">E652*$Q$2</f>
        <v>33</v>
      </c>
      <c r="L652" s="7" t="n">
        <f aca="false">K652/PI()</f>
        <v>10.5042262440651</v>
      </c>
      <c r="M652" s="8" t="n">
        <f aca="false">PI()*L652^2/40000</f>
        <v>0.0086659866513537</v>
      </c>
      <c r="N652" s="7" t="n">
        <f aca="false">F652*$Q$3</f>
        <v>10</v>
      </c>
      <c r="O652" s="3"/>
      <c r="P652" s="3"/>
      <c r="Q652" s="3"/>
    </row>
    <row r="653" customFormat="false" ht="15" hidden="false" customHeight="false" outlineLevel="0" collapsed="false">
      <c r="A653" s="2" t="s">
        <v>50</v>
      </c>
      <c r="B653" s="2" t="n">
        <v>5</v>
      </c>
      <c r="C653" s="2" t="n">
        <v>171</v>
      </c>
      <c r="D653" s="2" t="n">
        <v>3</v>
      </c>
      <c r="E653" s="2" t="n">
        <v>390</v>
      </c>
      <c r="F653" s="2" t="n">
        <v>100</v>
      </c>
      <c r="G653" s="2" t="s">
        <v>37</v>
      </c>
      <c r="H653" s="6" t="str">
        <f aca="false">A653&amp;"_"&amp;B653</f>
        <v>jureia_5</v>
      </c>
      <c r="I653" s="6" t="str">
        <f aca="false">H653&amp;"_"&amp;C653&amp;"_"&amp;G653</f>
        <v>jureia_5_171_Tabebuia cassinoides</v>
      </c>
      <c r="J653" s="6" t="n">
        <f aca="false">IF(COUNTIF($I$2:I653,I653)=1,1,0)</f>
        <v>0</v>
      </c>
      <c r="K653" s="6" t="n">
        <f aca="false">E653*$Q$2</f>
        <v>39</v>
      </c>
      <c r="L653" s="7" t="n">
        <f aca="false">K653/PI()</f>
        <v>12.4140855611678</v>
      </c>
      <c r="M653" s="8" t="n">
        <f aca="false">PI()*L653^2/40000</f>
        <v>0.0121037334221386</v>
      </c>
      <c r="N653" s="7" t="n">
        <f aca="false">F653*$Q$3</f>
        <v>10</v>
      </c>
      <c r="O653" s="3"/>
      <c r="P653" s="3"/>
      <c r="Q653" s="3"/>
    </row>
    <row r="654" customFormat="false" ht="15" hidden="false" customHeight="false" outlineLevel="0" collapsed="false">
      <c r="A654" s="2" t="s">
        <v>50</v>
      </c>
      <c r="B654" s="2" t="n">
        <v>5</v>
      </c>
      <c r="C654" s="2" t="n">
        <v>172</v>
      </c>
      <c r="D654" s="2" t="n">
        <v>1</v>
      </c>
      <c r="E654" s="2" t="n">
        <v>370</v>
      </c>
      <c r="F654" s="2" t="n">
        <v>150</v>
      </c>
      <c r="G654" s="2" t="s">
        <v>37</v>
      </c>
      <c r="H654" s="6" t="str">
        <f aca="false">A654&amp;"_"&amp;B654</f>
        <v>jureia_5</v>
      </c>
      <c r="I654" s="6" t="str">
        <f aca="false">H654&amp;"_"&amp;C654&amp;"_"&amp;G654</f>
        <v>jureia_5_172_Tabebuia cassinoides</v>
      </c>
      <c r="J654" s="6" t="n">
        <f aca="false">IF(COUNTIF($I$2:I654,I654)=1,1,0)</f>
        <v>1</v>
      </c>
      <c r="K654" s="6" t="n">
        <f aca="false">E654*$Q$2</f>
        <v>37</v>
      </c>
      <c r="L654" s="7" t="n">
        <f aca="false">K654/PI()</f>
        <v>11.7774657888003</v>
      </c>
      <c r="M654" s="8" t="n">
        <f aca="false">PI()*L654^2/40000</f>
        <v>0.0108941558546402</v>
      </c>
      <c r="N654" s="7" t="n">
        <f aca="false">F654*$Q$3</f>
        <v>15</v>
      </c>
      <c r="O654" s="3"/>
      <c r="P654" s="3"/>
      <c r="Q654" s="3"/>
    </row>
    <row r="655" customFormat="false" ht="15" hidden="false" customHeight="false" outlineLevel="0" collapsed="false">
      <c r="A655" s="2" t="s">
        <v>50</v>
      </c>
      <c r="B655" s="2" t="n">
        <v>5</v>
      </c>
      <c r="C655" s="2" t="n">
        <v>172</v>
      </c>
      <c r="D655" s="2" t="n">
        <v>2</v>
      </c>
      <c r="E655" s="2" t="n">
        <v>240</v>
      </c>
      <c r="F655" s="2" t="n">
        <v>150</v>
      </c>
      <c r="G655" s="2" t="s">
        <v>37</v>
      </c>
      <c r="H655" s="6" t="str">
        <f aca="false">A655&amp;"_"&amp;B655</f>
        <v>jureia_5</v>
      </c>
      <c r="I655" s="6" t="str">
        <f aca="false">H655&amp;"_"&amp;C655&amp;"_"&amp;G655</f>
        <v>jureia_5_172_Tabebuia cassinoides</v>
      </c>
      <c r="J655" s="6" t="n">
        <f aca="false">IF(COUNTIF($I$2:I655,I655)=1,1,0)</f>
        <v>0</v>
      </c>
      <c r="K655" s="6" t="n">
        <f aca="false">E655*$Q$2</f>
        <v>24</v>
      </c>
      <c r="L655" s="7" t="n">
        <f aca="false">K655/PI()</f>
        <v>7.63943726841098</v>
      </c>
      <c r="M655" s="8" t="n">
        <f aca="false">PI()*L655^2/40000</f>
        <v>0.00458366236104659</v>
      </c>
      <c r="N655" s="7" t="n">
        <f aca="false">F655*$Q$3</f>
        <v>15</v>
      </c>
      <c r="O655" s="3"/>
      <c r="P655" s="3"/>
      <c r="Q655" s="3"/>
    </row>
    <row r="656" customFormat="false" ht="15" hidden="false" customHeight="false" outlineLevel="0" collapsed="false">
      <c r="A656" s="2" t="s">
        <v>50</v>
      </c>
      <c r="B656" s="2" t="n">
        <v>5</v>
      </c>
      <c r="C656" s="2" t="n">
        <v>172</v>
      </c>
      <c r="D656" s="2" t="n">
        <v>3</v>
      </c>
      <c r="E656" s="2" t="n">
        <v>530</v>
      </c>
      <c r="F656" s="2" t="n">
        <v>150</v>
      </c>
      <c r="G656" s="2" t="s">
        <v>37</v>
      </c>
      <c r="H656" s="6" t="str">
        <f aca="false">A656&amp;"_"&amp;B656</f>
        <v>jureia_5</v>
      </c>
      <c r="I656" s="6" t="str">
        <f aca="false">H656&amp;"_"&amp;C656&amp;"_"&amp;G656</f>
        <v>jureia_5_172_Tabebuia cassinoides</v>
      </c>
      <c r="J656" s="6" t="n">
        <f aca="false">IF(COUNTIF($I$2:I656,I656)=1,1,0)</f>
        <v>0</v>
      </c>
      <c r="K656" s="6" t="n">
        <f aca="false">E656*$Q$2</f>
        <v>53</v>
      </c>
      <c r="L656" s="7" t="n">
        <f aca="false">K656/PI()</f>
        <v>16.8704239677409</v>
      </c>
      <c r="M656" s="8" t="n">
        <f aca="false">PI()*L656^2/40000</f>
        <v>0.0223533117572567</v>
      </c>
      <c r="N656" s="7" t="n">
        <f aca="false">F656*$Q$3</f>
        <v>15</v>
      </c>
      <c r="O656" s="3"/>
      <c r="P656" s="3"/>
      <c r="Q656" s="3"/>
    </row>
    <row r="657" customFormat="false" ht="15" hidden="false" customHeight="false" outlineLevel="0" collapsed="false">
      <c r="A657" s="2" t="s">
        <v>50</v>
      </c>
      <c r="B657" s="2" t="n">
        <v>5</v>
      </c>
      <c r="C657" s="2" t="n">
        <v>173</v>
      </c>
      <c r="D657" s="2" t="n">
        <v>1</v>
      </c>
      <c r="E657" s="2" t="n">
        <v>430</v>
      </c>
      <c r="F657" s="2" t="n">
        <v>120</v>
      </c>
      <c r="G657" s="2" t="s">
        <v>37</v>
      </c>
      <c r="H657" s="6" t="str">
        <f aca="false">A657&amp;"_"&amp;B657</f>
        <v>jureia_5</v>
      </c>
      <c r="I657" s="6" t="str">
        <f aca="false">H657&amp;"_"&amp;C657&amp;"_"&amp;G657</f>
        <v>jureia_5_173_Tabebuia cassinoides</v>
      </c>
      <c r="J657" s="6" t="n">
        <f aca="false">IF(COUNTIF($I$2:I657,I657)=1,1,0)</f>
        <v>1</v>
      </c>
      <c r="K657" s="6" t="n">
        <f aca="false">E657*$Q$2</f>
        <v>43</v>
      </c>
      <c r="L657" s="7" t="n">
        <f aca="false">K657/PI()</f>
        <v>13.687325105903</v>
      </c>
      <c r="M657" s="8" t="n">
        <f aca="false">PI()*L657^2/40000</f>
        <v>0.0147138744888457</v>
      </c>
      <c r="N657" s="7" t="n">
        <f aca="false">F657*$Q$3</f>
        <v>12</v>
      </c>
      <c r="O657" s="3"/>
      <c r="P657" s="3"/>
      <c r="Q657" s="3"/>
    </row>
    <row r="658" customFormat="false" ht="15" hidden="false" customHeight="false" outlineLevel="0" collapsed="false">
      <c r="A658" s="2" t="s">
        <v>50</v>
      </c>
      <c r="B658" s="2" t="n">
        <v>5</v>
      </c>
      <c r="C658" s="2" t="n">
        <v>174</v>
      </c>
      <c r="D658" s="2" t="n">
        <v>1</v>
      </c>
      <c r="E658" s="2" t="n">
        <v>300</v>
      </c>
      <c r="F658" s="2" t="n">
        <v>90</v>
      </c>
      <c r="G658" s="2" t="s">
        <v>37</v>
      </c>
      <c r="H658" s="6" t="str">
        <f aca="false">A658&amp;"_"&amp;B658</f>
        <v>jureia_5</v>
      </c>
      <c r="I658" s="6" t="str">
        <f aca="false">H658&amp;"_"&amp;C658&amp;"_"&amp;G658</f>
        <v>jureia_5_174_Tabebuia cassinoides</v>
      </c>
      <c r="J658" s="6" t="n">
        <f aca="false">IF(COUNTIF($I$2:I658,I658)=1,1,0)</f>
        <v>1</v>
      </c>
      <c r="K658" s="6" t="n">
        <f aca="false">E658*$Q$2</f>
        <v>30</v>
      </c>
      <c r="L658" s="7" t="n">
        <f aca="false">K658/PI()</f>
        <v>9.54929658551372</v>
      </c>
      <c r="M658" s="8" t="n">
        <f aca="false">PI()*L658^2/40000</f>
        <v>0.00716197243913529</v>
      </c>
      <c r="N658" s="7" t="n">
        <f aca="false">F658*$Q$3</f>
        <v>9</v>
      </c>
      <c r="O658" s="3"/>
      <c r="P658" s="3"/>
      <c r="Q658" s="3"/>
    </row>
    <row r="659" customFormat="false" ht="15" hidden="false" customHeight="false" outlineLevel="0" collapsed="false">
      <c r="A659" s="2" t="s">
        <v>50</v>
      </c>
      <c r="B659" s="2" t="n">
        <v>5</v>
      </c>
      <c r="C659" s="2" t="n">
        <v>175</v>
      </c>
      <c r="D659" s="2" t="n">
        <v>1</v>
      </c>
      <c r="E659" s="2" t="n">
        <v>520</v>
      </c>
      <c r="F659" s="2" t="n">
        <v>120</v>
      </c>
      <c r="G659" s="2" t="s">
        <v>37</v>
      </c>
      <c r="H659" s="6" t="str">
        <f aca="false">A659&amp;"_"&amp;B659</f>
        <v>jureia_5</v>
      </c>
      <c r="I659" s="6" t="str">
        <f aca="false">H659&amp;"_"&amp;C659&amp;"_"&amp;G659</f>
        <v>jureia_5_175_Tabebuia cassinoides</v>
      </c>
      <c r="J659" s="6" t="n">
        <f aca="false">IF(COUNTIF($I$2:I659,I659)=1,1,0)</f>
        <v>1</v>
      </c>
      <c r="K659" s="6" t="n">
        <f aca="false">E659*$Q$2</f>
        <v>52</v>
      </c>
      <c r="L659" s="7" t="n">
        <f aca="false">K659/PI()</f>
        <v>16.5521140815571</v>
      </c>
      <c r="M659" s="8" t="n">
        <f aca="false">PI()*L659^2/40000</f>
        <v>0.0215177483060242</v>
      </c>
      <c r="N659" s="7" t="n">
        <f aca="false">F659*$Q$3</f>
        <v>12</v>
      </c>
      <c r="O659" s="3"/>
      <c r="P659" s="3"/>
      <c r="Q659" s="3"/>
    </row>
    <row r="660" customFormat="false" ht="15" hidden="false" customHeight="false" outlineLevel="0" collapsed="false">
      <c r="A660" s="2" t="s">
        <v>50</v>
      </c>
      <c r="B660" s="2" t="n">
        <v>5</v>
      </c>
      <c r="C660" s="2" t="n">
        <v>176</v>
      </c>
      <c r="D660" s="2" t="n">
        <v>1</v>
      </c>
      <c r="E660" s="2" t="n">
        <v>270</v>
      </c>
      <c r="F660" s="2" t="n">
        <v>100</v>
      </c>
      <c r="G660" s="2" t="s">
        <v>37</v>
      </c>
      <c r="H660" s="6" t="str">
        <f aca="false">A660&amp;"_"&amp;B660</f>
        <v>jureia_5</v>
      </c>
      <c r="I660" s="6" t="str">
        <f aca="false">H660&amp;"_"&amp;C660&amp;"_"&amp;G660</f>
        <v>jureia_5_176_Tabebuia cassinoides</v>
      </c>
      <c r="J660" s="6" t="n">
        <f aca="false">IF(COUNTIF($I$2:I660,I660)=1,1,0)</f>
        <v>1</v>
      </c>
      <c r="K660" s="6" t="n">
        <f aca="false">E660*$Q$2</f>
        <v>27</v>
      </c>
      <c r="L660" s="7" t="n">
        <f aca="false">K660/PI()</f>
        <v>8.59436692696235</v>
      </c>
      <c r="M660" s="8" t="n">
        <f aca="false">PI()*L660^2/40000</f>
        <v>0.00580119767569958</v>
      </c>
      <c r="N660" s="7" t="n">
        <f aca="false">F660*$Q$3</f>
        <v>10</v>
      </c>
      <c r="O660" s="3"/>
      <c r="P660" s="3"/>
      <c r="Q660" s="3"/>
    </row>
    <row r="661" customFormat="false" ht="15" hidden="false" customHeight="false" outlineLevel="0" collapsed="false">
      <c r="A661" s="2" t="s">
        <v>50</v>
      </c>
      <c r="B661" s="2" t="n">
        <v>5</v>
      </c>
      <c r="C661" s="2" t="n">
        <v>177</v>
      </c>
      <c r="D661" s="2" t="n">
        <v>1</v>
      </c>
      <c r="E661" s="2" t="n">
        <v>640</v>
      </c>
      <c r="F661" s="2" t="n">
        <v>150</v>
      </c>
      <c r="G661" s="2" t="s">
        <v>37</v>
      </c>
      <c r="H661" s="6" t="str">
        <f aca="false">A661&amp;"_"&amp;B661</f>
        <v>jureia_5</v>
      </c>
      <c r="I661" s="6" t="str">
        <f aca="false">H661&amp;"_"&amp;C661&amp;"_"&amp;G661</f>
        <v>jureia_5_177_Tabebuia cassinoides</v>
      </c>
      <c r="J661" s="6" t="n">
        <f aca="false">IF(COUNTIF($I$2:I661,I661)=1,1,0)</f>
        <v>1</v>
      </c>
      <c r="K661" s="6" t="n">
        <f aca="false">E661*$Q$2</f>
        <v>64</v>
      </c>
      <c r="L661" s="7" t="n">
        <f aca="false">K661/PI()</f>
        <v>20.3718327157626</v>
      </c>
      <c r="M661" s="8" t="n">
        <f aca="false">PI()*L661^2/40000</f>
        <v>0.0325949323452202</v>
      </c>
      <c r="N661" s="7" t="n">
        <f aca="false">F661*$Q$3</f>
        <v>15</v>
      </c>
      <c r="O661" s="3"/>
      <c r="P661" s="3"/>
      <c r="Q661" s="3"/>
    </row>
    <row r="662" customFormat="false" ht="15" hidden="false" customHeight="false" outlineLevel="0" collapsed="false">
      <c r="A662" s="2" t="s">
        <v>50</v>
      </c>
      <c r="B662" s="2" t="n">
        <v>5</v>
      </c>
      <c r="C662" s="2" t="n">
        <v>178</v>
      </c>
      <c r="D662" s="2" t="n">
        <v>1</v>
      </c>
      <c r="E662" s="2" t="n">
        <v>370</v>
      </c>
      <c r="F662" s="2" t="n">
        <v>80</v>
      </c>
      <c r="G662" s="2" t="s">
        <v>68</v>
      </c>
      <c r="H662" s="6" t="str">
        <f aca="false">A662&amp;"_"&amp;B662</f>
        <v>jureia_5</v>
      </c>
      <c r="I662" s="6" t="str">
        <f aca="false">H662&amp;"_"&amp;C662&amp;"_"&amp;G662</f>
        <v>jureia_5_178_Simplocos sp</v>
      </c>
      <c r="J662" s="6" t="n">
        <f aca="false">IF(COUNTIF($I$2:I662,I662)=1,1,0)</f>
        <v>1</v>
      </c>
      <c r="K662" s="6" t="n">
        <f aca="false">E662*$Q$2</f>
        <v>37</v>
      </c>
      <c r="L662" s="7" t="n">
        <f aca="false">K662/PI()</f>
        <v>11.7774657888003</v>
      </c>
      <c r="M662" s="8" t="n">
        <f aca="false">PI()*L662^2/40000</f>
        <v>0.0108941558546402</v>
      </c>
      <c r="N662" s="7" t="n">
        <f aca="false">F662*$Q$3</f>
        <v>8</v>
      </c>
      <c r="O662" s="3"/>
      <c r="P662" s="3"/>
      <c r="Q662" s="3"/>
    </row>
    <row r="663" customFormat="false" ht="15" hidden="false" customHeight="false" outlineLevel="0" collapsed="false">
      <c r="A663" s="2" t="s">
        <v>50</v>
      </c>
      <c r="B663" s="2" t="n">
        <v>5</v>
      </c>
      <c r="C663" s="2" t="n">
        <v>179</v>
      </c>
      <c r="D663" s="2" t="n">
        <v>1</v>
      </c>
      <c r="E663" s="2" t="n">
        <v>420</v>
      </c>
      <c r="F663" s="2" t="n">
        <v>140</v>
      </c>
      <c r="G663" s="2" t="s">
        <v>37</v>
      </c>
      <c r="H663" s="6" t="str">
        <f aca="false">A663&amp;"_"&amp;B663</f>
        <v>jureia_5</v>
      </c>
      <c r="I663" s="6" t="str">
        <f aca="false">H663&amp;"_"&amp;C663&amp;"_"&amp;G663</f>
        <v>jureia_5_179_Tabebuia cassinoides</v>
      </c>
      <c r="J663" s="6" t="n">
        <f aca="false">IF(COUNTIF($I$2:I663,I663)=1,1,0)</f>
        <v>1</v>
      </c>
      <c r="K663" s="6" t="n">
        <f aca="false">E663*$Q$2</f>
        <v>42</v>
      </c>
      <c r="L663" s="7" t="n">
        <f aca="false">K663/PI()</f>
        <v>13.3690152197192</v>
      </c>
      <c r="M663" s="8" t="n">
        <f aca="false">PI()*L663^2/40000</f>
        <v>0.0140374659807052</v>
      </c>
      <c r="N663" s="7" t="n">
        <f aca="false">F663*$Q$3</f>
        <v>14</v>
      </c>
      <c r="O663" s="3"/>
      <c r="P663" s="3"/>
      <c r="Q663" s="3"/>
    </row>
    <row r="664" customFormat="false" ht="15" hidden="false" customHeight="false" outlineLevel="0" collapsed="false">
      <c r="A664" s="2" t="s">
        <v>50</v>
      </c>
      <c r="B664" s="2" t="n">
        <v>5</v>
      </c>
      <c r="C664" s="2" t="n">
        <v>179</v>
      </c>
      <c r="D664" s="2" t="n">
        <v>2</v>
      </c>
      <c r="E664" s="2" t="n">
        <v>390</v>
      </c>
      <c r="F664" s="2" t="n">
        <v>140</v>
      </c>
      <c r="G664" s="2" t="s">
        <v>37</v>
      </c>
      <c r="H664" s="6" t="str">
        <f aca="false">A664&amp;"_"&amp;B664</f>
        <v>jureia_5</v>
      </c>
      <c r="I664" s="6" t="str">
        <f aca="false">H664&amp;"_"&amp;C664&amp;"_"&amp;G664</f>
        <v>jureia_5_179_Tabebuia cassinoides</v>
      </c>
      <c r="J664" s="6" t="n">
        <f aca="false">IF(COUNTIF($I$2:I664,I664)=1,1,0)</f>
        <v>0</v>
      </c>
      <c r="K664" s="6" t="n">
        <f aca="false">E664*$Q$2</f>
        <v>39</v>
      </c>
      <c r="L664" s="7" t="n">
        <f aca="false">K664/PI()</f>
        <v>12.4140855611678</v>
      </c>
      <c r="M664" s="8" t="n">
        <f aca="false">PI()*L664^2/40000</f>
        <v>0.0121037334221386</v>
      </c>
      <c r="N664" s="7" t="n">
        <f aca="false">F664*$Q$3</f>
        <v>14</v>
      </c>
      <c r="O664" s="3"/>
      <c r="P664" s="3"/>
      <c r="Q664" s="3"/>
    </row>
    <row r="665" customFormat="false" ht="15" hidden="false" customHeight="false" outlineLevel="0" collapsed="false">
      <c r="A665" s="2" t="s">
        <v>50</v>
      </c>
      <c r="B665" s="2" t="n">
        <v>5</v>
      </c>
      <c r="C665" s="2" t="n">
        <v>179</v>
      </c>
      <c r="D665" s="2" t="n">
        <v>3</v>
      </c>
      <c r="E665" s="2" t="n">
        <v>170</v>
      </c>
      <c r="F665" s="2" t="n">
        <v>140</v>
      </c>
      <c r="G665" s="2" t="s">
        <v>37</v>
      </c>
      <c r="H665" s="6" t="str">
        <f aca="false">A665&amp;"_"&amp;B665</f>
        <v>jureia_5</v>
      </c>
      <c r="I665" s="6" t="str">
        <f aca="false">H665&amp;"_"&amp;C665&amp;"_"&amp;G665</f>
        <v>jureia_5_179_Tabebuia cassinoides</v>
      </c>
      <c r="J665" s="6" t="n">
        <f aca="false">IF(COUNTIF($I$2:I665,I665)=1,1,0)</f>
        <v>0</v>
      </c>
      <c r="K665" s="6" t="n">
        <f aca="false">E665*$Q$2</f>
        <v>17</v>
      </c>
      <c r="L665" s="7" t="n">
        <f aca="false">K665/PI()</f>
        <v>5.41126806512444</v>
      </c>
      <c r="M665" s="8" t="n">
        <f aca="false">PI()*L665^2/40000</f>
        <v>0.00229978892767789</v>
      </c>
      <c r="N665" s="7" t="n">
        <f aca="false">F665*$Q$3</f>
        <v>14</v>
      </c>
      <c r="O665" s="3"/>
      <c r="P665" s="3"/>
      <c r="Q665" s="3"/>
    </row>
    <row r="666" customFormat="false" ht="15" hidden="false" customHeight="false" outlineLevel="0" collapsed="false">
      <c r="A666" s="2" t="s">
        <v>50</v>
      </c>
      <c r="B666" s="2" t="n">
        <v>5</v>
      </c>
      <c r="C666" s="2" t="n">
        <v>180</v>
      </c>
      <c r="D666" s="2" t="n">
        <v>1</v>
      </c>
      <c r="E666" s="2" t="n">
        <v>240</v>
      </c>
      <c r="F666" s="2" t="n">
        <v>100</v>
      </c>
      <c r="G666" s="2" t="s">
        <v>44</v>
      </c>
      <c r="H666" s="6" t="str">
        <f aca="false">A666&amp;"_"&amp;B666</f>
        <v>jureia_5</v>
      </c>
      <c r="I666" s="6" t="str">
        <f aca="false">H666&amp;"_"&amp;C666&amp;"_"&amp;G666</f>
        <v>jureia_5_180_Psidium sp</v>
      </c>
      <c r="J666" s="6" t="n">
        <f aca="false">IF(COUNTIF($I$2:I666,I666)=1,1,0)</f>
        <v>1</v>
      </c>
      <c r="K666" s="6" t="n">
        <f aca="false">E666*$Q$2</f>
        <v>24</v>
      </c>
      <c r="L666" s="7" t="n">
        <f aca="false">K666/PI()</f>
        <v>7.63943726841098</v>
      </c>
      <c r="M666" s="8" t="n">
        <f aca="false">PI()*L666^2/40000</f>
        <v>0.00458366236104659</v>
      </c>
      <c r="N666" s="7" t="n">
        <f aca="false">F666*$Q$3</f>
        <v>10</v>
      </c>
      <c r="O666" s="3"/>
      <c r="P666" s="3"/>
      <c r="Q666" s="3"/>
    </row>
    <row r="667" customFormat="false" ht="15" hidden="false" customHeight="false" outlineLevel="0" collapsed="false">
      <c r="A667" s="2" t="s">
        <v>50</v>
      </c>
      <c r="B667" s="2" t="n">
        <v>5</v>
      </c>
      <c r="C667" s="2" t="n">
        <v>181</v>
      </c>
      <c r="D667" s="2" t="n">
        <v>1</v>
      </c>
      <c r="E667" s="2" t="n">
        <v>290</v>
      </c>
      <c r="F667" s="2" t="n">
        <v>130</v>
      </c>
      <c r="G667" s="2" t="s">
        <v>37</v>
      </c>
      <c r="H667" s="6" t="str">
        <f aca="false">A667&amp;"_"&amp;B667</f>
        <v>jureia_5</v>
      </c>
      <c r="I667" s="6" t="str">
        <f aca="false">H667&amp;"_"&amp;C667&amp;"_"&amp;G667</f>
        <v>jureia_5_181_Tabebuia cassinoides</v>
      </c>
      <c r="J667" s="6" t="n">
        <f aca="false">IF(COUNTIF($I$2:I667,I667)=1,1,0)</f>
        <v>1</v>
      </c>
      <c r="K667" s="6" t="n">
        <f aca="false">E667*$Q$2</f>
        <v>29</v>
      </c>
      <c r="L667" s="7" t="n">
        <f aca="false">K667/PI()</f>
        <v>9.23098669932993</v>
      </c>
      <c r="M667" s="8" t="n">
        <f aca="false">PI()*L667^2/40000</f>
        <v>0.0066924653570142</v>
      </c>
      <c r="N667" s="7" t="n">
        <f aca="false">F667*$Q$3</f>
        <v>13</v>
      </c>
      <c r="O667" s="3"/>
      <c r="P667" s="3"/>
      <c r="Q667" s="3"/>
    </row>
    <row r="668" customFormat="false" ht="15" hidden="false" customHeight="false" outlineLevel="0" collapsed="false">
      <c r="A668" s="2" t="s">
        <v>50</v>
      </c>
      <c r="B668" s="2" t="n">
        <v>5</v>
      </c>
      <c r="C668" s="2" t="n">
        <v>181</v>
      </c>
      <c r="D668" s="2" t="n">
        <v>2</v>
      </c>
      <c r="E668" s="2" t="n">
        <v>550</v>
      </c>
      <c r="F668" s="2" t="n">
        <v>130</v>
      </c>
      <c r="G668" s="2" t="s">
        <v>37</v>
      </c>
      <c r="H668" s="6" t="str">
        <f aca="false">A668&amp;"_"&amp;B668</f>
        <v>jureia_5</v>
      </c>
      <c r="I668" s="6" t="str">
        <f aca="false">H668&amp;"_"&amp;C668&amp;"_"&amp;G668</f>
        <v>jureia_5_181_Tabebuia cassinoides</v>
      </c>
      <c r="J668" s="6" t="n">
        <f aca="false">IF(COUNTIF($I$2:I668,I668)=1,1,0)</f>
        <v>0</v>
      </c>
      <c r="K668" s="6" t="n">
        <f aca="false">E668*$Q$2</f>
        <v>55</v>
      </c>
      <c r="L668" s="7" t="n">
        <f aca="false">K668/PI()</f>
        <v>17.5070437401085</v>
      </c>
      <c r="M668" s="8" t="n">
        <f aca="false">PI()*L668^2/40000</f>
        <v>0.0240721851426492</v>
      </c>
      <c r="N668" s="7" t="n">
        <f aca="false">F668*$Q$3</f>
        <v>13</v>
      </c>
      <c r="O668" s="3"/>
      <c r="P668" s="3"/>
      <c r="Q668" s="3"/>
    </row>
    <row r="669" customFormat="false" ht="15" hidden="false" customHeight="false" outlineLevel="0" collapsed="false">
      <c r="A669" s="2" t="s">
        <v>70</v>
      </c>
      <c r="B669" s="2" t="n">
        <v>1</v>
      </c>
      <c r="C669" s="2" t="n">
        <v>1</v>
      </c>
      <c r="D669" s="2" t="n">
        <v>1</v>
      </c>
      <c r="E669" s="2" t="n">
        <v>630</v>
      </c>
      <c r="F669" s="2" t="n">
        <v>130</v>
      </c>
      <c r="G669" s="2" t="s">
        <v>37</v>
      </c>
      <c r="H669" s="6" t="str">
        <f aca="false">A669&amp;"_"&amp;B669</f>
        <v>retiro_1</v>
      </c>
      <c r="I669" s="6" t="str">
        <f aca="false">H669&amp;"_"&amp;C669&amp;"_"&amp;G669</f>
        <v>retiro_1_1_Tabebuia cassinoides</v>
      </c>
      <c r="J669" s="6" t="n">
        <f aca="false">IF(COUNTIF($I$2:I669,I669)=1,1,0)</f>
        <v>1</v>
      </c>
      <c r="K669" s="6" t="n">
        <f aca="false">E669*$Q$2</f>
        <v>63</v>
      </c>
      <c r="L669" s="7" t="n">
        <f aca="false">K669/PI()</f>
        <v>20.0535228295788</v>
      </c>
      <c r="M669" s="8" t="n">
        <f aca="false">PI()*L669^2/40000</f>
        <v>0.0315842984565866</v>
      </c>
      <c r="N669" s="7" t="n">
        <f aca="false">F669*$Q$3</f>
        <v>13</v>
      </c>
      <c r="O669" s="3"/>
      <c r="P669" s="3"/>
      <c r="Q669" s="3"/>
    </row>
    <row r="670" customFormat="false" ht="15" hidden="false" customHeight="false" outlineLevel="0" collapsed="false">
      <c r="A670" s="2" t="s">
        <v>70</v>
      </c>
      <c r="B670" s="2" t="n">
        <v>1</v>
      </c>
      <c r="C670" s="2" t="n">
        <v>2</v>
      </c>
      <c r="D670" s="2" t="n">
        <v>1</v>
      </c>
      <c r="E670" s="2" t="n">
        <v>425</v>
      </c>
      <c r="F670" s="2" t="n">
        <v>120</v>
      </c>
      <c r="G670" s="2" t="s">
        <v>37</v>
      </c>
      <c r="H670" s="6" t="str">
        <f aca="false">A670&amp;"_"&amp;B670</f>
        <v>retiro_1</v>
      </c>
      <c r="I670" s="6" t="str">
        <f aca="false">H670&amp;"_"&amp;C670&amp;"_"&amp;G670</f>
        <v>retiro_1_2_Tabebuia cassinoides</v>
      </c>
      <c r="J670" s="6" t="n">
        <f aca="false">IF(COUNTIF($I$2:I670,I670)=1,1,0)</f>
        <v>1</v>
      </c>
      <c r="K670" s="6" t="n">
        <f aca="false">E670*$Q$2</f>
        <v>42.5</v>
      </c>
      <c r="L670" s="7" t="n">
        <f aca="false">K670/PI()</f>
        <v>13.5281701628111</v>
      </c>
      <c r="M670" s="8" t="n">
        <f aca="false">PI()*L670^2/40000</f>
        <v>0.0143736807979868</v>
      </c>
      <c r="N670" s="7" t="n">
        <f aca="false">F670*$Q$3</f>
        <v>12</v>
      </c>
      <c r="O670" s="3"/>
      <c r="P670" s="3"/>
      <c r="Q670" s="3"/>
    </row>
    <row r="671" customFormat="false" ht="15" hidden="false" customHeight="false" outlineLevel="0" collapsed="false">
      <c r="A671" s="2" t="s">
        <v>70</v>
      </c>
      <c r="B671" s="2" t="n">
        <v>1</v>
      </c>
      <c r="C671" s="2" t="n">
        <v>2</v>
      </c>
      <c r="D671" s="2" t="n">
        <v>2</v>
      </c>
      <c r="E671" s="2" t="n">
        <v>235</v>
      </c>
      <c r="F671" s="2" t="n">
        <v>120</v>
      </c>
      <c r="G671" s="2" t="s">
        <v>37</v>
      </c>
      <c r="H671" s="6" t="str">
        <f aca="false">A671&amp;"_"&amp;B671</f>
        <v>retiro_1</v>
      </c>
      <c r="I671" s="6" t="str">
        <f aca="false">H671&amp;"_"&amp;C671&amp;"_"&amp;G671</f>
        <v>retiro_1_2_Tabebuia cassinoides</v>
      </c>
      <c r="J671" s="6" t="n">
        <f aca="false">IF(COUNTIF($I$2:I671,I671)=1,1,0)</f>
        <v>0</v>
      </c>
      <c r="K671" s="6" t="n">
        <f aca="false">E671*$Q$2</f>
        <v>23.5</v>
      </c>
      <c r="L671" s="7" t="n">
        <f aca="false">K671/PI()</f>
        <v>7.48028232531908</v>
      </c>
      <c r="M671" s="8" t="n">
        <f aca="false">PI()*L671^2/40000</f>
        <v>0.00439466586612496</v>
      </c>
      <c r="N671" s="7" t="n">
        <f aca="false">F671*$Q$3</f>
        <v>12</v>
      </c>
      <c r="O671" s="3"/>
      <c r="P671" s="3"/>
      <c r="Q671" s="3"/>
    </row>
    <row r="672" customFormat="false" ht="15" hidden="false" customHeight="false" outlineLevel="0" collapsed="false">
      <c r="A672" s="2" t="s">
        <v>70</v>
      </c>
      <c r="B672" s="2" t="n">
        <v>1</v>
      </c>
      <c r="C672" s="2" t="n">
        <v>2</v>
      </c>
      <c r="D672" s="2" t="n">
        <v>3</v>
      </c>
      <c r="E672" s="2" t="n">
        <v>475</v>
      </c>
      <c r="F672" s="2" t="n">
        <v>120</v>
      </c>
      <c r="G672" s="2" t="s">
        <v>37</v>
      </c>
      <c r="H672" s="6" t="str">
        <f aca="false">A672&amp;"_"&amp;B672</f>
        <v>retiro_1</v>
      </c>
      <c r="I672" s="6" t="str">
        <f aca="false">H672&amp;"_"&amp;C672&amp;"_"&amp;G672</f>
        <v>retiro_1_2_Tabebuia cassinoides</v>
      </c>
      <c r="J672" s="6" t="n">
        <f aca="false">IF(COUNTIF($I$2:I672,I672)=1,1,0)</f>
        <v>0</v>
      </c>
      <c r="K672" s="6" t="n">
        <f aca="false">E672*$Q$2</f>
        <v>47.5</v>
      </c>
      <c r="L672" s="7" t="n">
        <f aca="false">K672/PI()</f>
        <v>15.1197195937301</v>
      </c>
      <c r="M672" s="8" t="n">
        <f aca="false">PI()*L672^2/40000</f>
        <v>0.0179546670175544</v>
      </c>
      <c r="N672" s="7" t="n">
        <f aca="false">F672*$Q$3</f>
        <v>12</v>
      </c>
      <c r="O672" s="3"/>
      <c r="P672" s="3"/>
      <c r="Q672" s="3"/>
    </row>
    <row r="673" customFormat="false" ht="15" hidden="false" customHeight="false" outlineLevel="0" collapsed="false">
      <c r="A673" s="2" t="s">
        <v>70</v>
      </c>
      <c r="B673" s="2" t="n">
        <v>1</v>
      </c>
      <c r="C673" s="2" t="n">
        <v>3</v>
      </c>
      <c r="D673" s="2" t="n">
        <v>4</v>
      </c>
      <c r="E673" s="2" t="n">
        <v>125</v>
      </c>
      <c r="F673" s="2" t="n">
        <v>120</v>
      </c>
      <c r="G673" s="2" t="s">
        <v>37</v>
      </c>
      <c r="H673" s="6" t="str">
        <f aca="false">A673&amp;"_"&amp;B673</f>
        <v>retiro_1</v>
      </c>
      <c r="I673" s="6" t="str">
        <f aca="false">H673&amp;"_"&amp;C673&amp;"_"&amp;G673</f>
        <v>retiro_1_3_Tabebuia cassinoides</v>
      </c>
      <c r="J673" s="6" t="n">
        <f aca="false">IF(COUNTIF($I$2:I673,I673)=1,1,0)</f>
        <v>1</v>
      </c>
      <c r="K673" s="6" t="n">
        <f aca="false">E673*$Q$2</f>
        <v>12.5</v>
      </c>
      <c r="L673" s="7" t="n">
        <f aca="false">K673/PI()</f>
        <v>3.97887357729738</v>
      </c>
      <c r="M673" s="8" t="n">
        <f aca="false">PI()*L673^2/40000</f>
        <v>0.00124339799290543</v>
      </c>
      <c r="N673" s="7" t="n">
        <f aca="false">F673*$Q$3</f>
        <v>12</v>
      </c>
      <c r="O673" s="3"/>
      <c r="P673" s="3"/>
      <c r="Q673" s="3"/>
    </row>
    <row r="674" customFormat="false" ht="15" hidden="false" customHeight="false" outlineLevel="0" collapsed="false">
      <c r="A674" s="2" t="s">
        <v>70</v>
      </c>
      <c r="B674" s="2" t="n">
        <v>1</v>
      </c>
      <c r="C674" s="2" t="n">
        <v>3</v>
      </c>
      <c r="D674" s="2" t="n">
        <v>5</v>
      </c>
      <c r="E674" s="2" t="n">
        <v>200</v>
      </c>
      <c r="F674" s="2" t="n">
        <v>120</v>
      </c>
      <c r="G674" s="2" t="s">
        <v>37</v>
      </c>
      <c r="H674" s="6" t="str">
        <f aca="false">A674&amp;"_"&amp;B674</f>
        <v>retiro_1</v>
      </c>
      <c r="I674" s="6" t="str">
        <f aca="false">H674&amp;"_"&amp;C674&amp;"_"&amp;G674</f>
        <v>retiro_1_3_Tabebuia cassinoides</v>
      </c>
      <c r="J674" s="6" t="n">
        <f aca="false">IF(COUNTIF($I$2:I674,I674)=1,1,0)</f>
        <v>0</v>
      </c>
      <c r="K674" s="6" t="n">
        <f aca="false">E674*$Q$2</f>
        <v>20</v>
      </c>
      <c r="L674" s="7" t="n">
        <f aca="false">K674/PI()</f>
        <v>6.36619772367581</v>
      </c>
      <c r="M674" s="8" t="n">
        <f aca="false">PI()*L674^2/40000</f>
        <v>0.00318309886183791</v>
      </c>
      <c r="N674" s="7" t="n">
        <f aca="false">F674*$Q$3</f>
        <v>12</v>
      </c>
      <c r="O674" s="3"/>
      <c r="P674" s="3"/>
      <c r="Q674" s="3"/>
    </row>
    <row r="675" customFormat="false" ht="15" hidden="false" customHeight="false" outlineLevel="0" collapsed="false">
      <c r="A675" s="2" t="s">
        <v>70</v>
      </c>
      <c r="B675" s="2" t="n">
        <v>1</v>
      </c>
      <c r="C675" s="2" t="n">
        <v>3</v>
      </c>
      <c r="D675" s="2" t="n">
        <v>6</v>
      </c>
      <c r="E675" s="2" t="n">
        <v>480</v>
      </c>
      <c r="F675" s="2" t="n">
        <v>120</v>
      </c>
      <c r="G675" s="2" t="s">
        <v>37</v>
      </c>
      <c r="H675" s="6" t="str">
        <f aca="false">A675&amp;"_"&amp;B675</f>
        <v>retiro_1</v>
      </c>
      <c r="I675" s="6" t="str">
        <f aca="false">H675&amp;"_"&amp;C675&amp;"_"&amp;G675</f>
        <v>retiro_1_3_Tabebuia cassinoides</v>
      </c>
      <c r="J675" s="6" t="n">
        <f aca="false">IF(COUNTIF($I$2:I675,I675)=1,1,0)</f>
        <v>0</v>
      </c>
      <c r="K675" s="6" t="n">
        <f aca="false">E675*$Q$2</f>
        <v>48</v>
      </c>
      <c r="L675" s="7" t="n">
        <f aca="false">K675/PI()</f>
        <v>15.278874536822</v>
      </c>
      <c r="M675" s="8" t="n">
        <f aca="false">PI()*L675^2/40000</f>
        <v>0.0183346494441863</v>
      </c>
      <c r="N675" s="7" t="n">
        <f aca="false">F675*$Q$3</f>
        <v>12</v>
      </c>
      <c r="O675" s="3"/>
      <c r="P675" s="3"/>
      <c r="Q675" s="3"/>
    </row>
    <row r="676" customFormat="false" ht="15" hidden="false" customHeight="false" outlineLevel="0" collapsed="false">
      <c r="A676" s="2" t="s">
        <v>70</v>
      </c>
      <c r="B676" s="2" t="n">
        <v>1</v>
      </c>
      <c r="C676" s="2" t="n">
        <v>3</v>
      </c>
      <c r="D676" s="2" t="n">
        <v>7</v>
      </c>
      <c r="E676" s="2" t="n">
        <v>390</v>
      </c>
      <c r="F676" s="2" t="n">
        <v>120</v>
      </c>
      <c r="G676" s="2" t="s">
        <v>37</v>
      </c>
      <c r="H676" s="6" t="str">
        <f aca="false">A676&amp;"_"&amp;B676</f>
        <v>retiro_1</v>
      </c>
      <c r="I676" s="6" t="str">
        <f aca="false">H676&amp;"_"&amp;C676&amp;"_"&amp;G676</f>
        <v>retiro_1_3_Tabebuia cassinoides</v>
      </c>
      <c r="J676" s="6" t="n">
        <f aca="false">IF(COUNTIF($I$2:I676,I676)=1,1,0)</f>
        <v>0</v>
      </c>
      <c r="K676" s="6" t="n">
        <f aca="false">E676*$Q$2</f>
        <v>39</v>
      </c>
      <c r="L676" s="7" t="n">
        <f aca="false">K676/PI()</f>
        <v>12.4140855611678</v>
      </c>
      <c r="M676" s="8" t="n">
        <f aca="false">PI()*L676^2/40000</f>
        <v>0.0121037334221386</v>
      </c>
      <c r="N676" s="7" t="n">
        <f aca="false">F676*$Q$3</f>
        <v>12</v>
      </c>
      <c r="O676" s="3"/>
      <c r="P676" s="3"/>
      <c r="Q676" s="3"/>
    </row>
    <row r="677" customFormat="false" ht="15" hidden="false" customHeight="false" outlineLevel="0" collapsed="false">
      <c r="A677" s="2" t="s">
        <v>70</v>
      </c>
      <c r="B677" s="2" t="n">
        <v>1</v>
      </c>
      <c r="C677" s="2" t="n">
        <v>4</v>
      </c>
      <c r="D677" s="2" t="n">
        <v>2</v>
      </c>
      <c r="E677" s="2" t="n">
        <v>390</v>
      </c>
      <c r="F677" s="2" t="n">
        <v>140</v>
      </c>
      <c r="G677" s="2" t="s">
        <v>37</v>
      </c>
      <c r="H677" s="6" t="str">
        <f aca="false">A677&amp;"_"&amp;B677</f>
        <v>retiro_1</v>
      </c>
      <c r="I677" s="6" t="str">
        <f aca="false">H677&amp;"_"&amp;C677&amp;"_"&amp;G677</f>
        <v>retiro_1_4_Tabebuia cassinoides</v>
      </c>
      <c r="J677" s="6" t="n">
        <f aca="false">IF(COUNTIF($I$2:I677,I677)=1,1,0)</f>
        <v>1</v>
      </c>
      <c r="K677" s="6" t="n">
        <f aca="false">E677*$Q$2</f>
        <v>39</v>
      </c>
      <c r="L677" s="7" t="n">
        <f aca="false">K677/PI()</f>
        <v>12.4140855611678</v>
      </c>
      <c r="M677" s="8" t="n">
        <f aca="false">PI()*L677^2/40000</f>
        <v>0.0121037334221386</v>
      </c>
      <c r="N677" s="7" t="n">
        <f aca="false">F677*$Q$3</f>
        <v>14</v>
      </c>
      <c r="O677" s="3"/>
      <c r="P677" s="3"/>
      <c r="Q677" s="3"/>
    </row>
    <row r="678" customFormat="false" ht="15" hidden="false" customHeight="false" outlineLevel="0" collapsed="false">
      <c r="A678" s="2" t="s">
        <v>70</v>
      </c>
      <c r="B678" s="2" t="n">
        <v>1</v>
      </c>
      <c r="C678" s="2" t="n">
        <v>4</v>
      </c>
      <c r="D678" s="2" t="n">
        <v>3</v>
      </c>
      <c r="E678" s="2" t="n">
        <v>295</v>
      </c>
      <c r="F678" s="2" t="n">
        <v>140</v>
      </c>
      <c r="G678" s="2" t="s">
        <v>37</v>
      </c>
      <c r="H678" s="6" t="str">
        <f aca="false">A678&amp;"_"&amp;B678</f>
        <v>retiro_1</v>
      </c>
      <c r="I678" s="6" t="str">
        <f aca="false">H678&amp;"_"&amp;C678&amp;"_"&amp;G678</f>
        <v>retiro_1_4_Tabebuia cassinoides</v>
      </c>
      <c r="J678" s="6" t="n">
        <f aca="false">IF(COUNTIF($I$2:I678,I678)=1,1,0)</f>
        <v>0</v>
      </c>
      <c r="K678" s="6" t="n">
        <f aca="false">E678*$Q$2</f>
        <v>29.5</v>
      </c>
      <c r="L678" s="7" t="n">
        <f aca="false">K678/PI()</f>
        <v>9.39014164242183</v>
      </c>
      <c r="M678" s="8" t="n">
        <f aca="false">PI()*L678^2/40000</f>
        <v>0.0069252294612861</v>
      </c>
      <c r="N678" s="7" t="n">
        <f aca="false">F678*$Q$3</f>
        <v>14</v>
      </c>
      <c r="O678" s="3"/>
      <c r="P678" s="3"/>
      <c r="Q678" s="3"/>
    </row>
    <row r="679" customFormat="false" ht="15" hidden="false" customHeight="false" outlineLevel="0" collapsed="false">
      <c r="A679" s="2" t="s">
        <v>70</v>
      </c>
      <c r="B679" s="2" t="n">
        <v>1</v>
      </c>
      <c r="C679" s="2" t="n">
        <v>4</v>
      </c>
      <c r="D679" s="2" t="n">
        <v>4</v>
      </c>
      <c r="E679" s="2" t="n">
        <v>80</v>
      </c>
      <c r="F679" s="2" t="n">
        <v>140</v>
      </c>
      <c r="G679" s="2" t="s">
        <v>37</v>
      </c>
      <c r="H679" s="6" t="str">
        <f aca="false">A679&amp;"_"&amp;B679</f>
        <v>retiro_1</v>
      </c>
      <c r="I679" s="6" t="str">
        <f aca="false">H679&amp;"_"&amp;C679&amp;"_"&amp;G679</f>
        <v>retiro_1_4_Tabebuia cassinoides</v>
      </c>
      <c r="J679" s="6" t="n">
        <f aca="false">IF(COUNTIF($I$2:I679,I679)=1,1,0)</f>
        <v>0</v>
      </c>
      <c r="K679" s="6" t="n">
        <f aca="false">E679*$Q$2</f>
        <v>8</v>
      </c>
      <c r="L679" s="7" t="n">
        <f aca="false">K679/PI()</f>
        <v>2.54647908947033</v>
      </c>
      <c r="M679" s="8" t="n">
        <f aca="false">PI()*L679^2/40000</f>
        <v>0.000509295817894065</v>
      </c>
      <c r="N679" s="7" t="n">
        <f aca="false">F679*$Q$3</f>
        <v>14</v>
      </c>
      <c r="O679" s="3"/>
      <c r="P679" s="3"/>
      <c r="Q679" s="3"/>
    </row>
    <row r="680" customFormat="false" ht="15" hidden="false" customHeight="false" outlineLevel="0" collapsed="false">
      <c r="A680" s="2" t="s">
        <v>70</v>
      </c>
      <c r="B680" s="2" t="n">
        <v>1</v>
      </c>
      <c r="C680" s="2" t="n">
        <v>4</v>
      </c>
      <c r="D680" s="2" t="n">
        <v>5</v>
      </c>
      <c r="E680" s="2" t="n">
        <v>65</v>
      </c>
      <c r="F680" s="2" t="n">
        <v>140</v>
      </c>
      <c r="G680" s="2" t="s">
        <v>37</v>
      </c>
      <c r="H680" s="6" t="str">
        <f aca="false">A680&amp;"_"&amp;B680</f>
        <v>retiro_1</v>
      </c>
      <c r="I680" s="6" t="str">
        <f aca="false">H680&amp;"_"&amp;C680&amp;"_"&amp;G680</f>
        <v>retiro_1_4_Tabebuia cassinoides</v>
      </c>
      <c r="J680" s="6" t="n">
        <f aca="false">IF(COUNTIF($I$2:I680,I680)=1,1,0)</f>
        <v>0</v>
      </c>
      <c r="K680" s="6" t="n">
        <f aca="false">E680*$Q$2</f>
        <v>6.5</v>
      </c>
      <c r="L680" s="7" t="n">
        <f aca="false">K680/PI()</f>
        <v>2.06901426019464</v>
      </c>
      <c r="M680" s="8" t="n">
        <f aca="false">PI()*L680^2/40000</f>
        <v>0.000336214817281629</v>
      </c>
      <c r="N680" s="7" t="n">
        <f aca="false">F680*$Q$3</f>
        <v>14</v>
      </c>
      <c r="O680" s="3"/>
      <c r="P680" s="3"/>
      <c r="Q680" s="3"/>
    </row>
    <row r="681" customFormat="false" ht="15" hidden="false" customHeight="false" outlineLevel="0" collapsed="false">
      <c r="A681" s="2" t="s">
        <v>70</v>
      </c>
      <c r="B681" s="2" t="n">
        <v>1</v>
      </c>
      <c r="C681" s="2" t="n">
        <v>5</v>
      </c>
      <c r="D681" s="2" t="n">
        <v>1</v>
      </c>
      <c r="E681" s="2" t="n">
        <v>445</v>
      </c>
      <c r="F681" s="2" t="n">
        <v>125</v>
      </c>
      <c r="G681" s="2" t="s">
        <v>37</v>
      </c>
      <c r="H681" s="6" t="str">
        <f aca="false">A681&amp;"_"&amp;B681</f>
        <v>retiro_1</v>
      </c>
      <c r="I681" s="6" t="str">
        <f aca="false">H681&amp;"_"&amp;C681&amp;"_"&amp;G681</f>
        <v>retiro_1_5_Tabebuia cassinoides</v>
      </c>
      <c r="J681" s="6" t="n">
        <f aca="false">IF(COUNTIF($I$2:I681,I681)=1,1,0)</f>
        <v>1</v>
      </c>
      <c r="K681" s="6" t="n">
        <f aca="false">E681*$Q$2</f>
        <v>44.5</v>
      </c>
      <c r="L681" s="7" t="n">
        <f aca="false">K681/PI()</f>
        <v>14.1647899351787</v>
      </c>
      <c r="M681" s="8" t="n">
        <f aca="false">PI()*L681^2/40000</f>
        <v>0.0157583288028863</v>
      </c>
      <c r="N681" s="7" t="n">
        <f aca="false">F681*$Q$3</f>
        <v>12.5</v>
      </c>
      <c r="O681" s="3"/>
      <c r="P681" s="3"/>
      <c r="Q681" s="3"/>
    </row>
    <row r="682" customFormat="false" ht="15" hidden="false" customHeight="false" outlineLevel="0" collapsed="false">
      <c r="A682" s="2" t="s">
        <v>70</v>
      </c>
      <c r="B682" s="2" t="n">
        <v>1</v>
      </c>
      <c r="C682" s="2" t="n">
        <v>6</v>
      </c>
      <c r="D682" s="2" t="n">
        <v>1</v>
      </c>
      <c r="E682" s="2" t="n">
        <v>160</v>
      </c>
      <c r="F682" s="2" t="n">
        <v>60</v>
      </c>
      <c r="G682" s="2" t="s">
        <v>71</v>
      </c>
      <c r="H682" s="6" t="str">
        <f aca="false">A682&amp;"_"&amp;B682</f>
        <v>retiro_1</v>
      </c>
      <c r="I682" s="6" t="str">
        <f aca="false">H682&amp;"_"&amp;C682&amp;"_"&amp;G682</f>
        <v>retiro_1_6_Mela 1</v>
      </c>
      <c r="J682" s="6" t="n">
        <f aca="false">IF(COUNTIF($I$2:I682,I682)=1,1,0)</f>
        <v>1</v>
      </c>
      <c r="K682" s="6" t="n">
        <f aca="false">E682*$Q$2</f>
        <v>16</v>
      </c>
      <c r="L682" s="7" t="n">
        <f aca="false">K682/PI()</f>
        <v>5.09295817894065</v>
      </c>
      <c r="M682" s="8" t="n">
        <f aca="false">PI()*L682^2/40000</f>
        <v>0.00203718327157626</v>
      </c>
      <c r="N682" s="7" t="n">
        <f aca="false">F682*$Q$3</f>
        <v>6</v>
      </c>
      <c r="O682" s="3"/>
      <c r="P682" s="3"/>
      <c r="Q682" s="3"/>
    </row>
    <row r="683" customFormat="false" ht="15" hidden="false" customHeight="false" outlineLevel="0" collapsed="false">
      <c r="A683" s="2" t="s">
        <v>70</v>
      </c>
      <c r="B683" s="2" t="n">
        <v>1</v>
      </c>
      <c r="C683" s="2" t="n">
        <v>7</v>
      </c>
      <c r="D683" s="2" t="n">
        <v>1</v>
      </c>
      <c r="E683" s="2" t="n">
        <v>450</v>
      </c>
      <c r="F683" s="2" t="n">
        <v>140</v>
      </c>
      <c r="G683" s="2" t="s">
        <v>37</v>
      </c>
      <c r="H683" s="6" t="str">
        <f aca="false">A683&amp;"_"&amp;B683</f>
        <v>retiro_1</v>
      </c>
      <c r="I683" s="6" t="str">
        <f aca="false">H683&amp;"_"&amp;C683&amp;"_"&amp;G683</f>
        <v>retiro_1_7_Tabebuia cassinoides</v>
      </c>
      <c r="J683" s="6" t="n">
        <f aca="false">IF(COUNTIF($I$2:I683,I683)=1,1,0)</f>
        <v>1</v>
      </c>
      <c r="K683" s="6" t="n">
        <f aca="false">E683*$Q$2</f>
        <v>45</v>
      </c>
      <c r="L683" s="7" t="n">
        <f aca="false">K683/PI()</f>
        <v>14.3239448782706</v>
      </c>
      <c r="M683" s="8" t="n">
        <f aca="false">PI()*L683^2/40000</f>
        <v>0.0161144379880544</v>
      </c>
      <c r="N683" s="7" t="n">
        <f aca="false">F683*$Q$3</f>
        <v>14</v>
      </c>
      <c r="O683" s="3"/>
      <c r="P683" s="3"/>
      <c r="Q683" s="3"/>
    </row>
    <row r="684" customFormat="false" ht="15" hidden="false" customHeight="false" outlineLevel="0" collapsed="false">
      <c r="A684" s="2" t="s">
        <v>70</v>
      </c>
      <c r="B684" s="2" t="n">
        <v>1</v>
      </c>
      <c r="C684" s="2" t="n">
        <v>8</v>
      </c>
      <c r="D684" s="2" t="n">
        <v>1</v>
      </c>
      <c r="E684" s="2" t="n">
        <v>260</v>
      </c>
      <c r="F684" s="2" t="n">
        <v>90</v>
      </c>
      <c r="G684" s="2" t="s">
        <v>37</v>
      </c>
      <c r="H684" s="6" t="str">
        <f aca="false">A684&amp;"_"&amp;B684</f>
        <v>retiro_1</v>
      </c>
      <c r="I684" s="6" t="str">
        <f aca="false">H684&amp;"_"&amp;C684&amp;"_"&amp;G684</f>
        <v>retiro_1_8_Tabebuia cassinoides</v>
      </c>
      <c r="J684" s="6" t="n">
        <f aca="false">IF(COUNTIF($I$2:I684,I684)=1,1,0)</f>
        <v>1</v>
      </c>
      <c r="K684" s="6" t="n">
        <f aca="false">E684*$Q$2</f>
        <v>26</v>
      </c>
      <c r="L684" s="7" t="n">
        <f aca="false">K684/PI()</f>
        <v>8.27605704077856</v>
      </c>
      <c r="M684" s="8" t="n">
        <f aca="false">PI()*L684^2/40000</f>
        <v>0.00537943707650606</v>
      </c>
      <c r="N684" s="7" t="n">
        <f aca="false">F684*$Q$3</f>
        <v>9</v>
      </c>
      <c r="O684" s="3"/>
      <c r="P684" s="3"/>
      <c r="Q684" s="3"/>
    </row>
    <row r="685" customFormat="false" ht="15" hidden="false" customHeight="false" outlineLevel="0" collapsed="false">
      <c r="A685" s="2" t="s">
        <v>70</v>
      </c>
      <c r="B685" s="2" t="n">
        <v>1</v>
      </c>
      <c r="C685" s="2" t="n">
        <v>8</v>
      </c>
      <c r="D685" s="2" t="n">
        <v>2</v>
      </c>
      <c r="E685" s="2" t="n">
        <v>170</v>
      </c>
      <c r="F685" s="2" t="n">
        <v>90</v>
      </c>
      <c r="G685" s="2" t="s">
        <v>37</v>
      </c>
      <c r="H685" s="6" t="str">
        <f aca="false">A685&amp;"_"&amp;B685</f>
        <v>retiro_1</v>
      </c>
      <c r="I685" s="6" t="str">
        <f aca="false">H685&amp;"_"&amp;C685&amp;"_"&amp;G685</f>
        <v>retiro_1_8_Tabebuia cassinoides</v>
      </c>
      <c r="J685" s="6" t="n">
        <f aca="false">IF(COUNTIF($I$2:I685,I685)=1,1,0)</f>
        <v>0</v>
      </c>
      <c r="K685" s="6" t="n">
        <f aca="false">E685*$Q$2</f>
        <v>17</v>
      </c>
      <c r="L685" s="7" t="n">
        <f aca="false">K685/PI()</f>
        <v>5.41126806512444</v>
      </c>
      <c r="M685" s="8" t="n">
        <f aca="false">PI()*L685^2/40000</f>
        <v>0.00229978892767789</v>
      </c>
      <c r="N685" s="7" t="n">
        <f aca="false">F685*$Q$3</f>
        <v>9</v>
      </c>
      <c r="O685" s="3"/>
      <c r="P685" s="3"/>
      <c r="Q685" s="3"/>
    </row>
    <row r="686" customFormat="false" ht="15" hidden="false" customHeight="false" outlineLevel="0" collapsed="false">
      <c r="A686" s="2" t="s">
        <v>70</v>
      </c>
      <c r="B686" s="2" t="n">
        <v>1</v>
      </c>
      <c r="C686" s="2" t="n">
        <v>9</v>
      </c>
      <c r="D686" s="2" t="n">
        <v>1</v>
      </c>
      <c r="E686" s="2" t="n">
        <v>415</v>
      </c>
      <c r="F686" s="2" t="n">
        <v>130</v>
      </c>
      <c r="G686" s="2" t="s">
        <v>37</v>
      </c>
      <c r="H686" s="6" t="str">
        <f aca="false">A686&amp;"_"&amp;B686</f>
        <v>retiro_1</v>
      </c>
      <c r="I686" s="6" t="str">
        <f aca="false">H686&amp;"_"&amp;C686&amp;"_"&amp;G686</f>
        <v>retiro_1_9_Tabebuia cassinoides</v>
      </c>
      <c r="J686" s="6" t="n">
        <f aca="false">IF(COUNTIF($I$2:I686,I686)=1,1,0)</f>
        <v>1</v>
      </c>
      <c r="K686" s="6" t="n">
        <f aca="false">E686*$Q$2</f>
        <v>41.5</v>
      </c>
      <c r="L686" s="7" t="n">
        <f aca="false">K686/PI()</f>
        <v>13.2098602766273</v>
      </c>
      <c r="M686" s="8" t="n">
        <f aca="false">PI()*L686^2/40000</f>
        <v>0.0137052300370008</v>
      </c>
      <c r="N686" s="7" t="n">
        <f aca="false">F686*$Q$3</f>
        <v>13</v>
      </c>
      <c r="O686" s="3"/>
      <c r="P686" s="3"/>
      <c r="Q686" s="3"/>
    </row>
    <row r="687" customFormat="false" ht="15" hidden="false" customHeight="false" outlineLevel="0" collapsed="false">
      <c r="A687" s="2" t="s">
        <v>70</v>
      </c>
      <c r="B687" s="2" t="n">
        <v>1</v>
      </c>
      <c r="C687" s="2" t="n">
        <v>9</v>
      </c>
      <c r="D687" s="2" t="n">
        <v>2</v>
      </c>
      <c r="E687" s="2" t="n">
        <v>240</v>
      </c>
      <c r="F687" s="2" t="n">
        <v>130</v>
      </c>
      <c r="G687" s="2" t="s">
        <v>37</v>
      </c>
      <c r="H687" s="6" t="str">
        <f aca="false">A687&amp;"_"&amp;B687</f>
        <v>retiro_1</v>
      </c>
      <c r="I687" s="6" t="str">
        <f aca="false">H687&amp;"_"&amp;C687&amp;"_"&amp;G687</f>
        <v>retiro_1_9_Tabebuia cassinoides</v>
      </c>
      <c r="J687" s="6" t="n">
        <f aca="false">IF(COUNTIF($I$2:I687,I687)=1,1,0)</f>
        <v>0</v>
      </c>
      <c r="K687" s="6" t="n">
        <f aca="false">E687*$Q$2</f>
        <v>24</v>
      </c>
      <c r="L687" s="7" t="n">
        <f aca="false">K687/PI()</f>
        <v>7.63943726841098</v>
      </c>
      <c r="M687" s="8" t="n">
        <f aca="false">PI()*L687^2/40000</f>
        <v>0.00458366236104659</v>
      </c>
      <c r="N687" s="7" t="n">
        <f aca="false">F687*$Q$3</f>
        <v>13</v>
      </c>
      <c r="O687" s="3"/>
      <c r="P687" s="3"/>
      <c r="Q687" s="3"/>
    </row>
    <row r="688" customFormat="false" ht="15" hidden="false" customHeight="false" outlineLevel="0" collapsed="false">
      <c r="A688" s="2" t="s">
        <v>70</v>
      </c>
      <c r="B688" s="2" t="n">
        <v>1</v>
      </c>
      <c r="C688" s="2" t="n">
        <v>10</v>
      </c>
      <c r="D688" s="2" t="n">
        <v>1</v>
      </c>
      <c r="E688" s="2" t="n">
        <v>335</v>
      </c>
      <c r="F688" s="2" t="n">
        <v>110</v>
      </c>
      <c r="G688" s="2" t="s">
        <v>37</v>
      </c>
      <c r="H688" s="6" t="str">
        <f aca="false">A688&amp;"_"&amp;B688</f>
        <v>retiro_1</v>
      </c>
      <c r="I688" s="6" t="str">
        <f aca="false">H688&amp;"_"&amp;C688&amp;"_"&amp;G688</f>
        <v>retiro_1_10_Tabebuia cassinoides</v>
      </c>
      <c r="J688" s="6" t="n">
        <f aca="false">IF(COUNTIF($I$2:I688,I688)=1,1,0)</f>
        <v>1</v>
      </c>
      <c r="K688" s="6" t="n">
        <f aca="false">E688*$Q$2</f>
        <v>33.5</v>
      </c>
      <c r="L688" s="7" t="n">
        <f aca="false">K688/PI()</f>
        <v>10.663381187157</v>
      </c>
      <c r="M688" s="8" t="n">
        <f aca="false">PI()*L688^2/40000</f>
        <v>0.00893058174424398</v>
      </c>
      <c r="N688" s="7" t="n">
        <f aca="false">F688*$Q$3</f>
        <v>11</v>
      </c>
      <c r="O688" s="3"/>
      <c r="P688" s="3"/>
      <c r="Q688" s="3"/>
    </row>
    <row r="689" customFormat="false" ht="15" hidden="false" customHeight="false" outlineLevel="0" collapsed="false">
      <c r="A689" s="2" t="s">
        <v>70</v>
      </c>
      <c r="B689" s="2" t="n">
        <v>1</v>
      </c>
      <c r="C689" s="2" t="n">
        <v>11</v>
      </c>
      <c r="D689" s="2" t="n">
        <v>1</v>
      </c>
      <c r="E689" s="2" t="n">
        <v>590</v>
      </c>
      <c r="F689" s="2" t="n">
        <v>120</v>
      </c>
      <c r="G689" s="2" t="s">
        <v>37</v>
      </c>
      <c r="H689" s="6" t="str">
        <f aca="false">A689&amp;"_"&amp;B689</f>
        <v>retiro_1</v>
      </c>
      <c r="I689" s="6" t="str">
        <f aca="false">H689&amp;"_"&amp;C689&amp;"_"&amp;G689</f>
        <v>retiro_1_11_Tabebuia cassinoides</v>
      </c>
      <c r="J689" s="6" t="n">
        <f aca="false">IF(COUNTIF($I$2:I689,I689)=1,1,0)</f>
        <v>1</v>
      </c>
      <c r="K689" s="6" t="n">
        <f aca="false">E689*$Q$2</f>
        <v>59</v>
      </c>
      <c r="L689" s="7" t="n">
        <f aca="false">K689/PI()</f>
        <v>18.7802832848437</v>
      </c>
      <c r="M689" s="8" t="n">
        <f aca="false">PI()*L689^2/40000</f>
        <v>0.0277009178451444</v>
      </c>
      <c r="N689" s="7" t="n">
        <f aca="false">F689*$Q$3</f>
        <v>12</v>
      </c>
      <c r="O689" s="3"/>
      <c r="P689" s="3"/>
      <c r="Q689" s="3"/>
    </row>
    <row r="690" customFormat="false" ht="15" hidden="false" customHeight="false" outlineLevel="0" collapsed="false">
      <c r="A690" s="2" t="s">
        <v>70</v>
      </c>
      <c r="B690" s="2" t="n">
        <v>1</v>
      </c>
      <c r="C690" s="2" t="n">
        <v>12</v>
      </c>
      <c r="D690" s="2" t="n">
        <v>1</v>
      </c>
      <c r="E690" s="2" t="n">
        <v>250</v>
      </c>
      <c r="F690" s="2" t="n">
        <v>100</v>
      </c>
      <c r="G690" s="2" t="s">
        <v>37</v>
      </c>
      <c r="H690" s="6" t="str">
        <f aca="false">A690&amp;"_"&amp;B690</f>
        <v>retiro_1</v>
      </c>
      <c r="I690" s="6" t="str">
        <f aca="false">H690&amp;"_"&amp;C690&amp;"_"&amp;G690</f>
        <v>retiro_1_12_Tabebuia cassinoides</v>
      </c>
      <c r="J690" s="6" t="n">
        <f aca="false">IF(COUNTIF($I$2:I690,I690)=1,1,0)</f>
        <v>1</v>
      </c>
      <c r="K690" s="6" t="n">
        <f aca="false">E690*$Q$2</f>
        <v>25</v>
      </c>
      <c r="L690" s="7" t="n">
        <f aca="false">K690/PI()</f>
        <v>7.95774715459477</v>
      </c>
      <c r="M690" s="8" t="n">
        <f aca="false">PI()*L690^2/40000</f>
        <v>0.00497359197162173</v>
      </c>
      <c r="N690" s="7" t="n">
        <f aca="false">F690*$Q$3</f>
        <v>10</v>
      </c>
      <c r="O690" s="3"/>
      <c r="P690" s="3"/>
      <c r="Q690" s="3"/>
    </row>
    <row r="691" customFormat="false" ht="15" hidden="false" customHeight="false" outlineLevel="0" collapsed="false">
      <c r="A691" s="2" t="s">
        <v>70</v>
      </c>
      <c r="B691" s="2" t="n">
        <v>1</v>
      </c>
      <c r="C691" s="2" t="n">
        <v>12</v>
      </c>
      <c r="D691" s="2" t="n">
        <v>2</v>
      </c>
      <c r="E691" s="2" t="n">
        <v>180</v>
      </c>
      <c r="F691" s="2" t="n">
        <v>100</v>
      </c>
      <c r="G691" s="2" t="s">
        <v>37</v>
      </c>
      <c r="H691" s="6" t="str">
        <f aca="false">A691&amp;"_"&amp;B691</f>
        <v>retiro_1</v>
      </c>
      <c r="I691" s="6" t="str">
        <f aca="false">H691&amp;"_"&amp;C691&amp;"_"&amp;G691</f>
        <v>retiro_1_12_Tabebuia cassinoides</v>
      </c>
      <c r="J691" s="6" t="n">
        <f aca="false">IF(COUNTIF($I$2:I691,I691)=1,1,0)</f>
        <v>0</v>
      </c>
      <c r="K691" s="6" t="n">
        <f aca="false">E691*$Q$2</f>
        <v>18</v>
      </c>
      <c r="L691" s="7" t="n">
        <f aca="false">K691/PI()</f>
        <v>5.72957795130823</v>
      </c>
      <c r="M691" s="8" t="n">
        <f aca="false">PI()*L691^2/40000</f>
        <v>0.0025783100780887</v>
      </c>
      <c r="N691" s="7" t="n">
        <f aca="false">F691*$Q$3</f>
        <v>10</v>
      </c>
      <c r="O691" s="3"/>
      <c r="P691" s="3"/>
      <c r="Q691" s="3"/>
    </row>
    <row r="692" customFormat="false" ht="15" hidden="false" customHeight="false" outlineLevel="0" collapsed="false">
      <c r="A692" s="2" t="s">
        <v>70</v>
      </c>
      <c r="B692" s="2" t="n">
        <v>1</v>
      </c>
      <c r="C692" s="2" t="n">
        <v>13</v>
      </c>
      <c r="D692" s="2" t="n">
        <v>1</v>
      </c>
      <c r="E692" s="2" t="n">
        <v>425</v>
      </c>
      <c r="F692" s="2" t="n">
        <v>100</v>
      </c>
      <c r="G692" s="2" t="s">
        <v>37</v>
      </c>
      <c r="H692" s="6" t="str">
        <f aca="false">A692&amp;"_"&amp;B692</f>
        <v>retiro_1</v>
      </c>
      <c r="I692" s="6" t="str">
        <f aca="false">H692&amp;"_"&amp;C692&amp;"_"&amp;G692</f>
        <v>retiro_1_13_Tabebuia cassinoides</v>
      </c>
      <c r="J692" s="6" t="n">
        <f aca="false">IF(COUNTIF($I$2:I692,I692)=1,1,0)</f>
        <v>1</v>
      </c>
      <c r="K692" s="6" t="n">
        <f aca="false">E692*$Q$2</f>
        <v>42.5</v>
      </c>
      <c r="L692" s="7" t="n">
        <f aca="false">K692/PI()</f>
        <v>13.5281701628111</v>
      </c>
      <c r="M692" s="8" t="n">
        <f aca="false">PI()*L692^2/40000</f>
        <v>0.0143736807979868</v>
      </c>
      <c r="N692" s="7" t="n">
        <f aca="false">F692*$Q$3</f>
        <v>10</v>
      </c>
      <c r="O692" s="3"/>
      <c r="P692" s="3"/>
      <c r="Q692" s="3"/>
    </row>
    <row r="693" customFormat="false" ht="15" hidden="false" customHeight="false" outlineLevel="0" collapsed="false">
      <c r="A693" s="2" t="s">
        <v>70</v>
      </c>
      <c r="B693" s="2" t="n">
        <v>1</v>
      </c>
      <c r="C693" s="2" t="n">
        <v>14</v>
      </c>
      <c r="D693" s="2" t="n">
        <v>1</v>
      </c>
      <c r="E693" s="2" t="n">
        <v>920</v>
      </c>
      <c r="F693" s="2" t="n">
        <v>90</v>
      </c>
      <c r="G693" s="2" t="s">
        <v>72</v>
      </c>
      <c r="H693" s="6" t="str">
        <f aca="false">A693&amp;"_"&amp;B693</f>
        <v>retiro_1</v>
      </c>
      <c r="I693" s="6" t="str">
        <f aca="false">H693&amp;"_"&amp;C693&amp;"_"&amp;G693</f>
        <v>retiro_1_14_Ilex sp</v>
      </c>
      <c r="J693" s="6" t="n">
        <f aca="false">IF(COUNTIF($I$2:I693,I693)=1,1,0)</f>
        <v>1</v>
      </c>
      <c r="K693" s="6" t="n">
        <f aca="false">E693*$Q$2</f>
        <v>92</v>
      </c>
      <c r="L693" s="7" t="n">
        <f aca="false">K693/PI()</f>
        <v>29.2845095289087</v>
      </c>
      <c r="M693" s="8" t="n">
        <f aca="false">PI()*L693^2/40000</f>
        <v>0.0673543719164901</v>
      </c>
      <c r="N693" s="7" t="n">
        <f aca="false">F693*$Q$3</f>
        <v>9</v>
      </c>
      <c r="O693" s="3"/>
      <c r="P693" s="3"/>
      <c r="Q693" s="3"/>
    </row>
    <row r="694" customFormat="false" ht="15" hidden="false" customHeight="false" outlineLevel="0" collapsed="false">
      <c r="A694" s="2" t="s">
        <v>70</v>
      </c>
      <c r="B694" s="2" t="n">
        <v>1</v>
      </c>
      <c r="C694" s="2" t="n">
        <v>15</v>
      </c>
      <c r="D694" s="2" t="n">
        <v>1</v>
      </c>
      <c r="E694" s="2" t="n">
        <v>155</v>
      </c>
      <c r="F694" s="2" t="n">
        <v>80</v>
      </c>
      <c r="G694" s="2" t="s">
        <v>37</v>
      </c>
      <c r="H694" s="6" t="str">
        <f aca="false">A694&amp;"_"&amp;B694</f>
        <v>retiro_1</v>
      </c>
      <c r="I694" s="6" t="str">
        <f aca="false">H694&amp;"_"&amp;C694&amp;"_"&amp;G694</f>
        <v>retiro_1_15_Tabebuia cassinoides</v>
      </c>
      <c r="J694" s="6" t="n">
        <f aca="false">IF(COUNTIF($I$2:I694,I694)=1,1,0)</f>
        <v>1</v>
      </c>
      <c r="K694" s="6" t="n">
        <f aca="false">E694*$Q$2</f>
        <v>15.5</v>
      </c>
      <c r="L694" s="7" t="n">
        <f aca="false">K694/PI()</f>
        <v>4.93380323584876</v>
      </c>
      <c r="M694" s="8" t="n">
        <f aca="false">PI()*L694^2/40000</f>
        <v>0.00191184875389139</v>
      </c>
      <c r="N694" s="7" t="n">
        <f aca="false">F694*$Q$3</f>
        <v>8</v>
      </c>
      <c r="O694" s="3"/>
      <c r="P694" s="3"/>
      <c r="Q694" s="3"/>
    </row>
    <row r="695" customFormat="false" ht="15" hidden="false" customHeight="false" outlineLevel="0" collapsed="false">
      <c r="A695" s="2" t="s">
        <v>70</v>
      </c>
      <c r="B695" s="2" t="n">
        <v>1</v>
      </c>
      <c r="C695" s="2" t="n">
        <v>16</v>
      </c>
      <c r="D695" s="2" t="n">
        <v>1</v>
      </c>
      <c r="E695" s="2" t="n">
        <v>330</v>
      </c>
      <c r="F695" s="2" t="n">
        <v>80</v>
      </c>
      <c r="G695" s="2" t="s">
        <v>71</v>
      </c>
      <c r="H695" s="6" t="str">
        <f aca="false">A695&amp;"_"&amp;B695</f>
        <v>retiro_1</v>
      </c>
      <c r="I695" s="6" t="str">
        <f aca="false">H695&amp;"_"&amp;C695&amp;"_"&amp;G695</f>
        <v>retiro_1_16_Mela 1</v>
      </c>
      <c r="J695" s="6" t="n">
        <f aca="false">IF(COUNTIF($I$2:I695,I695)=1,1,0)</f>
        <v>1</v>
      </c>
      <c r="K695" s="6" t="n">
        <f aca="false">E695*$Q$2</f>
        <v>33</v>
      </c>
      <c r="L695" s="7" t="n">
        <f aca="false">K695/PI()</f>
        <v>10.5042262440651</v>
      </c>
      <c r="M695" s="8" t="n">
        <f aca="false">PI()*L695^2/40000</f>
        <v>0.0086659866513537</v>
      </c>
      <c r="N695" s="7" t="n">
        <f aca="false">F695*$Q$3</f>
        <v>8</v>
      </c>
      <c r="O695" s="3"/>
      <c r="P695" s="3"/>
      <c r="Q695" s="3"/>
    </row>
    <row r="696" customFormat="false" ht="15" hidden="false" customHeight="false" outlineLevel="0" collapsed="false">
      <c r="A696" s="2" t="s">
        <v>70</v>
      </c>
      <c r="B696" s="2" t="n">
        <v>1</v>
      </c>
      <c r="C696" s="2" t="n">
        <v>16</v>
      </c>
      <c r="D696" s="2" t="n">
        <v>2</v>
      </c>
      <c r="E696" s="2" t="n">
        <v>135</v>
      </c>
      <c r="F696" s="2" t="n">
        <v>80</v>
      </c>
      <c r="G696" s="2" t="s">
        <v>37</v>
      </c>
      <c r="H696" s="6" t="str">
        <f aca="false">A696&amp;"_"&amp;B696</f>
        <v>retiro_1</v>
      </c>
      <c r="I696" s="6" t="str">
        <f aca="false">H696&amp;"_"&amp;C696&amp;"_"&amp;G696</f>
        <v>retiro_1_16_Tabebuia cassinoides</v>
      </c>
      <c r="J696" s="6" t="n">
        <f aca="false">IF(COUNTIF($I$2:I696,I696)=1,1,0)</f>
        <v>1</v>
      </c>
      <c r="K696" s="6" t="n">
        <f aca="false">E696*$Q$2</f>
        <v>13.5</v>
      </c>
      <c r="L696" s="7" t="n">
        <f aca="false">K696/PI()</f>
        <v>4.29718346348117</v>
      </c>
      <c r="M696" s="8" t="n">
        <f aca="false">PI()*L696^2/40000</f>
        <v>0.0014502994189249</v>
      </c>
      <c r="N696" s="7" t="n">
        <f aca="false">F696*$Q$3</f>
        <v>8</v>
      </c>
      <c r="O696" s="3"/>
      <c r="P696" s="3"/>
      <c r="Q696" s="3"/>
    </row>
    <row r="697" customFormat="false" ht="15" hidden="false" customHeight="false" outlineLevel="0" collapsed="false">
      <c r="A697" s="2" t="s">
        <v>70</v>
      </c>
      <c r="B697" s="2" t="n">
        <v>1</v>
      </c>
      <c r="C697" s="2" t="n">
        <v>17</v>
      </c>
      <c r="D697" s="2" t="n">
        <v>1</v>
      </c>
      <c r="E697" s="2" t="n">
        <v>610</v>
      </c>
      <c r="F697" s="2" t="n">
        <v>150</v>
      </c>
      <c r="G697" s="2" t="s">
        <v>37</v>
      </c>
      <c r="H697" s="6" t="str">
        <f aca="false">A697&amp;"_"&amp;B697</f>
        <v>retiro_1</v>
      </c>
      <c r="I697" s="6" t="str">
        <f aca="false">H697&amp;"_"&amp;C697&amp;"_"&amp;G697</f>
        <v>retiro_1_17_Tabebuia cassinoides</v>
      </c>
      <c r="J697" s="6" t="n">
        <f aca="false">IF(COUNTIF($I$2:I697,I697)=1,1,0)</f>
        <v>1</v>
      </c>
      <c r="K697" s="6" t="n">
        <f aca="false">E697*$Q$2</f>
        <v>61</v>
      </c>
      <c r="L697" s="7" t="n">
        <f aca="false">K697/PI()</f>
        <v>19.4169030572112</v>
      </c>
      <c r="M697" s="8" t="n">
        <f aca="false">PI()*L697^2/40000</f>
        <v>0.0296107771622471</v>
      </c>
      <c r="N697" s="7" t="n">
        <f aca="false">F697*$Q$3</f>
        <v>15</v>
      </c>
      <c r="O697" s="3"/>
      <c r="P697" s="3"/>
      <c r="Q697" s="3"/>
    </row>
    <row r="698" customFormat="false" ht="15" hidden="false" customHeight="false" outlineLevel="0" collapsed="false">
      <c r="A698" s="2" t="s">
        <v>70</v>
      </c>
      <c r="B698" s="2" t="n">
        <v>1</v>
      </c>
      <c r="C698" s="2" t="n">
        <v>18</v>
      </c>
      <c r="D698" s="2" t="n">
        <v>1</v>
      </c>
      <c r="E698" s="2" t="n">
        <v>620</v>
      </c>
      <c r="F698" s="2" t="n">
        <v>170</v>
      </c>
      <c r="G698" s="2" t="s">
        <v>37</v>
      </c>
      <c r="H698" s="6" t="str">
        <f aca="false">A698&amp;"_"&amp;B698</f>
        <v>retiro_1</v>
      </c>
      <c r="I698" s="6" t="str">
        <f aca="false">H698&amp;"_"&amp;C698&amp;"_"&amp;G698</f>
        <v>retiro_1_18_Tabebuia cassinoides</v>
      </c>
      <c r="J698" s="6" t="n">
        <f aca="false">IF(COUNTIF($I$2:I698,I698)=1,1,0)</f>
        <v>1</v>
      </c>
      <c r="K698" s="6" t="n">
        <f aca="false">E698*$Q$2</f>
        <v>62</v>
      </c>
      <c r="L698" s="7" t="n">
        <f aca="false">K698/PI()</f>
        <v>19.735212943395</v>
      </c>
      <c r="M698" s="8" t="n">
        <f aca="false">PI()*L698^2/40000</f>
        <v>0.0305895800622623</v>
      </c>
      <c r="N698" s="7" t="n">
        <f aca="false">F698*$Q$3</f>
        <v>17</v>
      </c>
      <c r="O698" s="3"/>
      <c r="P698" s="3"/>
      <c r="Q698" s="3"/>
    </row>
    <row r="699" customFormat="false" ht="15" hidden="false" customHeight="false" outlineLevel="0" collapsed="false">
      <c r="A699" s="2" t="s">
        <v>70</v>
      </c>
      <c r="B699" s="2" t="n">
        <v>1</v>
      </c>
      <c r="C699" s="2" t="n">
        <v>18</v>
      </c>
      <c r="D699" s="2" t="n">
        <v>2</v>
      </c>
      <c r="E699" s="2" t="n">
        <v>285</v>
      </c>
      <c r="F699" s="2" t="n">
        <v>170</v>
      </c>
      <c r="G699" s="2" t="s">
        <v>37</v>
      </c>
      <c r="H699" s="6" t="str">
        <f aca="false">A699&amp;"_"&amp;B699</f>
        <v>retiro_1</v>
      </c>
      <c r="I699" s="6" t="str">
        <f aca="false">H699&amp;"_"&amp;C699&amp;"_"&amp;G699</f>
        <v>retiro_1_18_Tabebuia cassinoides</v>
      </c>
      <c r="J699" s="6" t="n">
        <f aca="false">IF(COUNTIF($I$2:I699,I699)=1,1,0)</f>
        <v>0</v>
      </c>
      <c r="K699" s="6" t="n">
        <f aca="false">E699*$Q$2</f>
        <v>28.5</v>
      </c>
      <c r="L699" s="7" t="n">
        <f aca="false">K699/PI()</f>
        <v>9.07183175623804</v>
      </c>
      <c r="M699" s="8" t="n">
        <f aca="false">PI()*L699^2/40000</f>
        <v>0.0064636801263196</v>
      </c>
      <c r="N699" s="7" t="n">
        <f aca="false">F699*$Q$3</f>
        <v>17</v>
      </c>
      <c r="O699" s="3"/>
      <c r="P699" s="3"/>
      <c r="Q699" s="3"/>
    </row>
    <row r="700" customFormat="false" ht="15" hidden="false" customHeight="false" outlineLevel="0" collapsed="false">
      <c r="A700" s="2" t="s">
        <v>70</v>
      </c>
      <c r="B700" s="2" t="n">
        <v>1</v>
      </c>
      <c r="C700" s="2" t="n">
        <v>19</v>
      </c>
      <c r="D700" s="2" t="n">
        <v>1</v>
      </c>
      <c r="E700" s="2" t="n">
        <v>470</v>
      </c>
      <c r="F700" s="2" t="n">
        <v>90</v>
      </c>
      <c r="G700" s="2" t="s">
        <v>37</v>
      </c>
      <c r="H700" s="6" t="str">
        <f aca="false">A700&amp;"_"&amp;B700</f>
        <v>retiro_1</v>
      </c>
      <c r="I700" s="6" t="str">
        <f aca="false">H700&amp;"_"&amp;C700&amp;"_"&amp;G700</f>
        <v>retiro_1_19_Tabebuia cassinoides</v>
      </c>
      <c r="J700" s="6" t="n">
        <f aca="false">IF(COUNTIF($I$2:I700,I700)=1,1,0)</f>
        <v>1</v>
      </c>
      <c r="K700" s="6" t="n">
        <f aca="false">E700*$Q$2</f>
        <v>47</v>
      </c>
      <c r="L700" s="7" t="n">
        <f aca="false">K700/PI()</f>
        <v>14.9605646506382</v>
      </c>
      <c r="M700" s="8" t="n">
        <f aca="false">PI()*L700^2/40000</f>
        <v>0.0175786634644998</v>
      </c>
      <c r="N700" s="7" t="n">
        <f aca="false">F700*$Q$3</f>
        <v>9</v>
      </c>
      <c r="O700" s="3"/>
      <c r="P700" s="3"/>
      <c r="Q700" s="3"/>
    </row>
    <row r="701" customFormat="false" ht="15" hidden="false" customHeight="false" outlineLevel="0" collapsed="false">
      <c r="A701" s="2" t="s">
        <v>70</v>
      </c>
      <c r="B701" s="2" t="n">
        <v>1</v>
      </c>
      <c r="C701" s="2" t="n">
        <v>19</v>
      </c>
      <c r="D701" s="2" t="n">
        <v>2</v>
      </c>
      <c r="E701" s="2" t="n">
        <v>100</v>
      </c>
      <c r="F701" s="2" t="n">
        <v>90</v>
      </c>
      <c r="G701" s="2" t="s">
        <v>37</v>
      </c>
      <c r="H701" s="6" t="str">
        <f aca="false">A701&amp;"_"&amp;B701</f>
        <v>retiro_1</v>
      </c>
      <c r="I701" s="6" t="str">
        <f aca="false">H701&amp;"_"&amp;C701&amp;"_"&amp;G701</f>
        <v>retiro_1_19_Tabebuia cassinoides</v>
      </c>
      <c r="J701" s="6" t="n">
        <f aca="false">IF(COUNTIF($I$2:I701,I701)=1,1,0)</f>
        <v>0</v>
      </c>
      <c r="K701" s="6" t="n">
        <f aca="false">E701*$Q$2</f>
        <v>10</v>
      </c>
      <c r="L701" s="7" t="n">
        <f aca="false">K701/PI()</f>
        <v>3.18309886183791</v>
      </c>
      <c r="M701" s="8" t="n">
        <f aca="false">PI()*L701^2/40000</f>
        <v>0.000795774715459477</v>
      </c>
      <c r="N701" s="7" t="n">
        <f aca="false">F701*$Q$3</f>
        <v>9</v>
      </c>
      <c r="O701" s="3"/>
      <c r="P701" s="3"/>
      <c r="Q701" s="3"/>
    </row>
    <row r="702" customFormat="false" ht="15" hidden="false" customHeight="false" outlineLevel="0" collapsed="false">
      <c r="A702" s="2" t="s">
        <v>70</v>
      </c>
      <c r="B702" s="2" t="n">
        <v>1</v>
      </c>
      <c r="C702" s="2" t="n">
        <v>19</v>
      </c>
      <c r="D702" s="2" t="n">
        <v>3</v>
      </c>
      <c r="E702" s="2" t="n">
        <v>220</v>
      </c>
      <c r="F702" s="2" t="n">
        <v>90</v>
      </c>
      <c r="G702" s="2" t="s">
        <v>37</v>
      </c>
      <c r="H702" s="6" t="str">
        <f aca="false">A702&amp;"_"&amp;B702</f>
        <v>retiro_1</v>
      </c>
      <c r="I702" s="6" t="str">
        <f aca="false">H702&amp;"_"&amp;C702&amp;"_"&amp;G702</f>
        <v>retiro_1_19_Tabebuia cassinoides</v>
      </c>
      <c r="J702" s="6" t="n">
        <f aca="false">IF(COUNTIF($I$2:I702,I702)=1,1,0)</f>
        <v>0</v>
      </c>
      <c r="K702" s="6" t="n">
        <f aca="false">E702*$Q$2</f>
        <v>22</v>
      </c>
      <c r="L702" s="7" t="n">
        <f aca="false">K702/PI()</f>
        <v>7.0028174960434</v>
      </c>
      <c r="M702" s="8" t="n">
        <f aca="false">PI()*L702^2/40000</f>
        <v>0.00385154962282387</v>
      </c>
      <c r="N702" s="7" t="n">
        <f aca="false">F702*$Q$3</f>
        <v>9</v>
      </c>
      <c r="O702" s="3"/>
      <c r="P702" s="3"/>
      <c r="Q702" s="3"/>
    </row>
    <row r="703" customFormat="false" ht="15" hidden="false" customHeight="false" outlineLevel="0" collapsed="false">
      <c r="A703" s="2" t="s">
        <v>70</v>
      </c>
      <c r="B703" s="2" t="n">
        <v>1</v>
      </c>
      <c r="C703" s="2" t="n">
        <v>20</v>
      </c>
      <c r="D703" s="2" t="n">
        <v>1</v>
      </c>
      <c r="E703" s="2" t="n">
        <v>290</v>
      </c>
      <c r="F703" s="2" t="n">
        <v>90</v>
      </c>
      <c r="G703" s="2" t="s">
        <v>37</v>
      </c>
      <c r="H703" s="6" t="str">
        <f aca="false">A703&amp;"_"&amp;B703</f>
        <v>retiro_1</v>
      </c>
      <c r="I703" s="6" t="str">
        <f aca="false">H703&amp;"_"&amp;C703&amp;"_"&amp;G703</f>
        <v>retiro_1_20_Tabebuia cassinoides</v>
      </c>
      <c r="J703" s="6" t="n">
        <f aca="false">IF(COUNTIF($I$2:I703,I703)=1,1,0)</f>
        <v>1</v>
      </c>
      <c r="K703" s="6" t="n">
        <f aca="false">E703*$Q$2</f>
        <v>29</v>
      </c>
      <c r="L703" s="7" t="n">
        <f aca="false">K703/PI()</f>
        <v>9.23098669932993</v>
      </c>
      <c r="M703" s="8" t="n">
        <f aca="false">PI()*L703^2/40000</f>
        <v>0.0066924653570142</v>
      </c>
      <c r="N703" s="7" t="n">
        <f aca="false">F703*$Q$3</f>
        <v>9</v>
      </c>
      <c r="O703" s="3"/>
      <c r="P703" s="3"/>
      <c r="Q703" s="3"/>
    </row>
    <row r="704" customFormat="false" ht="15" hidden="false" customHeight="false" outlineLevel="0" collapsed="false">
      <c r="A704" s="2" t="s">
        <v>70</v>
      </c>
      <c r="B704" s="2" t="n">
        <v>1</v>
      </c>
      <c r="C704" s="2" t="n">
        <v>20</v>
      </c>
      <c r="D704" s="2" t="n">
        <v>2</v>
      </c>
      <c r="E704" s="2" t="n">
        <v>85</v>
      </c>
      <c r="F704" s="2" t="n">
        <v>90</v>
      </c>
      <c r="G704" s="2" t="s">
        <v>37</v>
      </c>
      <c r="H704" s="6" t="str">
        <f aca="false">A704&amp;"_"&amp;B704</f>
        <v>retiro_1</v>
      </c>
      <c r="I704" s="6" t="str">
        <f aca="false">H704&amp;"_"&amp;C704&amp;"_"&amp;G704</f>
        <v>retiro_1_20_Tabebuia cassinoides</v>
      </c>
      <c r="J704" s="6" t="n">
        <f aca="false">IF(COUNTIF($I$2:I704,I704)=1,1,0)</f>
        <v>0</v>
      </c>
      <c r="K704" s="6" t="n">
        <f aca="false">E704*$Q$2</f>
        <v>8.5</v>
      </c>
      <c r="L704" s="7" t="n">
        <f aca="false">K704/PI()</f>
        <v>2.70563403256222</v>
      </c>
      <c r="M704" s="8" t="n">
        <f aca="false">PI()*L704^2/40000</f>
        <v>0.000574947231919472</v>
      </c>
      <c r="N704" s="7" t="n">
        <f aca="false">F704*$Q$3</f>
        <v>9</v>
      </c>
      <c r="O704" s="3"/>
      <c r="P704" s="3"/>
      <c r="Q704" s="3"/>
    </row>
    <row r="705" customFormat="false" ht="15" hidden="false" customHeight="false" outlineLevel="0" collapsed="false">
      <c r="A705" s="2" t="s">
        <v>70</v>
      </c>
      <c r="B705" s="2" t="n">
        <v>1</v>
      </c>
      <c r="C705" s="2" t="n">
        <v>20</v>
      </c>
      <c r="D705" s="2" t="n">
        <v>3</v>
      </c>
      <c r="E705" s="2" t="n">
        <v>70</v>
      </c>
      <c r="F705" s="2" t="n">
        <v>90</v>
      </c>
      <c r="G705" s="2" t="s">
        <v>37</v>
      </c>
      <c r="H705" s="6" t="str">
        <f aca="false">A705&amp;"_"&amp;B705</f>
        <v>retiro_1</v>
      </c>
      <c r="I705" s="6" t="str">
        <f aca="false">H705&amp;"_"&amp;C705&amp;"_"&amp;G705</f>
        <v>retiro_1_20_Tabebuia cassinoides</v>
      </c>
      <c r="J705" s="6" t="n">
        <f aca="false">IF(COUNTIF($I$2:I705,I705)=1,1,0)</f>
        <v>0</v>
      </c>
      <c r="K705" s="6" t="n">
        <f aca="false">E705*$Q$2</f>
        <v>7</v>
      </c>
      <c r="L705" s="7" t="n">
        <f aca="false">K705/PI()</f>
        <v>2.22816920328654</v>
      </c>
      <c r="M705" s="8" t="n">
        <f aca="false">PI()*L705^2/40000</f>
        <v>0.000389929610575144</v>
      </c>
      <c r="N705" s="7" t="n">
        <f aca="false">F705*$Q$3</f>
        <v>9</v>
      </c>
      <c r="O705" s="3"/>
      <c r="P705" s="3"/>
      <c r="Q705" s="3"/>
    </row>
    <row r="706" customFormat="false" ht="15" hidden="false" customHeight="false" outlineLevel="0" collapsed="false">
      <c r="A706" s="2" t="s">
        <v>70</v>
      </c>
      <c r="B706" s="2" t="n">
        <v>1</v>
      </c>
      <c r="C706" s="2" t="n">
        <v>20</v>
      </c>
      <c r="D706" s="2" t="n">
        <v>4</v>
      </c>
      <c r="E706" s="2" t="n">
        <v>105</v>
      </c>
      <c r="F706" s="2" t="n">
        <v>90</v>
      </c>
      <c r="G706" s="2" t="s">
        <v>37</v>
      </c>
      <c r="H706" s="6" t="str">
        <f aca="false">A706&amp;"_"&amp;B706</f>
        <v>retiro_1</v>
      </c>
      <c r="I706" s="6" t="str">
        <f aca="false">H706&amp;"_"&amp;C706&amp;"_"&amp;G706</f>
        <v>retiro_1_20_Tabebuia cassinoides</v>
      </c>
      <c r="J706" s="6" t="n">
        <f aca="false">IF(COUNTIF($I$2:I706,I706)=1,1,0)</f>
        <v>0</v>
      </c>
      <c r="K706" s="6" t="n">
        <f aca="false">E706*$Q$2</f>
        <v>10.5</v>
      </c>
      <c r="L706" s="7" t="n">
        <f aca="false">K706/PI()</f>
        <v>3.3422538049298</v>
      </c>
      <c r="M706" s="8" t="n">
        <f aca="false">PI()*L706^2/40000</f>
        <v>0.000877341623794073</v>
      </c>
      <c r="N706" s="7" t="n">
        <f aca="false">F706*$Q$3</f>
        <v>9</v>
      </c>
      <c r="O706" s="3"/>
      <c r="P706" s="3"/>
      <c r="Q706" s="3"/>
    </row>
    <row r="707" customFormat="false" ht="15" hidden="false" customHeight="false" outlineLevel="0" collapsed="false">
      <c r="A707" s="2" t="s">
        <v>70</v>
      </c>
      <c r="B707" s="2" t="n">
        <v>1</v>
      </c>
      <c r="C707" s="2" t="n">
        <v>21</v>
      </c>
      <c r="D707" s="2" t="n">
        <v>1</v>
      </c>
      <c r="E707" s="2" t="n">
        <v>265</v>
      </c>
      <c r="F707" s="2" t="n">
        <v>85</v>
      </c>
      <c r="G707" s="2" t="s">
        <v>37</v>
      </c>
      <c r="H707" s="6" t="str">
        <f aca="false">A707&amp;"_"&amp;B707</f>
        <v>retiro_1</v>
      </c>
      <c r="I707" s="6" t="str">
        <f aca="false">H707&amp;"_"&amp;C707&amp;"_"&amp;G707</f>
        <v>retiro_1_21_Tabebuia cassinoides</v>
      </c>
      <c r="J707" s="6" t="n">
        <f aca="false">IF(COUNTIF($I$2:I707,I707)=1,1,0)</f>
        <v>1</v>
      </c>
      <c r="K707" s="6" t="n">
        <f aca="false">E707*$Q$2</f>
        <v>26.5</v>
      </c>
      <c r="L707" s="7" t="n">
        <f aca="false">K707/PI()</f>
        <v>8.43521198387045</v>
      </c>
      <c r="M707" s="8" t="n">
        <f aca="false">PI()*L707^2/40000</f>
        <v>0.00558832793931417</v>
      </c>
      <c r="N707" s="7" t="n">
        <f aca="false">F707*$Q$3</f>
        <v>8.5</v>
      </c>
      <c r="O707" s="3"/>
      <c r="P707" s="3"/>
      <c r="Q707" s="3"/>
    </row>
    <row r="708" customFormat="false" ht="15" hidden="false" customHeight="false" outlineLevel="0" collapsed="false">
      <c r="A708" s="2" t="s">
        <v>70</v>
      </c>
      <c r="B708" s="2" t="n">
        <v>1</v>
      </c>
      <c r="C708" s="2" t="n">
        <v>21</v>
      </c>
      <c r="D708" s="2" t="n">
        <v>2</v>
      </c>
      <c r="E708" s="2" t="n">
        <v>135</v>
      </c>
      <c r="F708" s="2" t="n">
        <v>85</v>
      </c>
      <c r="G708" s="2" t="s">
        <v>37</v>
      </c>
      <c r="H708" s="6" t="str">
        <f aca="false">A708&amp;"_"&amp;B708</f>
        <v>retiro_1</v>
      </c>
      <c r="I708" s="6" t="str">
        <f aca="false">H708&amp;"_"&amp;C708&amp;"_"&amp;G708</f>
        <v>retiro_1_21_Tabebuia cassinoides</v>
      </c>
      <c r="J708" s="6" t="n">
        <f aca="false">IF(COUNTIF($I$2:I708,I708)=1,1,0)</f>
        <v>0</v>
      </c>
      <c r="K708" s="6" t="n">
        <f aca="false">E708*$Q$2</f>
        <v>13.5</v>
      </c>
      <c r="L708" s="7" t="n">
        <f aca="false">K708/PI()</f>
        <v>4.29718346348117</v>
      </c>
      <c r="M708" s="8" t="n">
        <f aca="false">PI()*L708^2/40000</f>
        <v>0.0014502994189249</v>
      </c>
      <c r="N708" s="7" t="n">
        <f aca="false">F708*$Q$3</f>
        <v>8.5</v>
      </c>
      <c r="O708" s="3"/>
      <c r="P708" s="3"/>
      <c r="Q708" s="3"/>
    </row>
    <row r="709" customFormat="false" ht="15" hidden="false" customHeight="false" outlineLevel="0" collapsed="false">
      <c r="A709" s="2" t="s">
        <v>70</v>
      </c>
      <c r="B709" s="2" t="n">
        <v>1</v>
      </c>
      <c r="C709" s="2" t="n">
        <v>21</v>
      </c>
      <c r="D709" s="2" t="n">
        <v>3</v>
      </c>
      <c r="E709" s="2" t="n">
        <v>275</v>
      </c>
      <c r="F709" s="2" t="n">
        <v>85</v>
      </c>
      <c r="G709" s="2" t="s">
        <v>37</v>
      </c>
      <c r="H709" s="6" t="str">
        <f aca="false">A709&amp;"_"&amp;B709</f>
        <v>retiro_1</v>
      </c>
      <c r="I709" s="6" t="str">
        <f aca="false">H709&amp;"_"&amp;C709&amp;"_"&amp;G709</f>
        <v>retiro_1_21_Tabebuia cassinoides</v>
      </c>
      <c r="J709" s="6" t="n">
        <f aca="false">IF(COUNTIF($I$2:I709,I709)=1,1,0)</f>
        <v>0</v>
      </c>
      <c r="K709" s="6" t="n">
        <f aca="false">E709*$Q$2</f>
        <v>27.5</v>
      </c>
      <c r="L709" s="7" t="n">
        <f aca="false">K709/PI()</f>
        <v>8.75352187005424</v>
      </c>
      <c r="M709" s="8" t="n">
        <f aca="false">PI()*L709^2/40000</f>
        <v>0.00601804628566229</v>
      </c>
      <c r="N709" s="7" t="n">
        <f aca="false">F709*$Q$3</f>
        <v>8.5</v>
      </c>
      <c r="O709" s="3"/>
      <c r="P709" s="3"/>
      <c r="Q709" s="3"/>
    </row>
    <row r="710" customFormat="false" ht="15" hidden="false" customHeight="false" outlineLevel="0" collapsed="false">
      <c r="A710" s="2" t="s">
        <v>70</v>
      </c>
      <c r="B710" s="2" t="n">
        <v>1</v>
      </c>
      <c r="C710" s="2" t="n">
        <v>21</v>
      </c>
      <c r="D710" s="2" t="n">
        <v>4</v>
      </c>
      <c r="E710" s="2" t="n">
        <v>500</v>
      </c>
      <c r="F710" s="2" t="n">
        <v>85</v>
      </c>
      <c r="G710" s="2" t="s">
        <v>37</v>
      </c>
      <c r="H710" s="6" t="str">
        <f aca="false">A710&amp;"_"&amp;B710</f>
        <v>retiro_1</v>
      </c>
      <c r="I710" s="6" t="str">
        <f aca="false">H710&amp;"_"&amp;C710&amp;"_"&amp;G710</f>
        <v>retiro_1_21_Tabebuia cassinoides</v>
      </c>
      <c r="J710" s="6" t="n">
        <f aca="false">IF(COUNTIF($I$2:I710,I710)=1,1,0)</f>
        <v>0</v>
      </c>
      <c r="K710" s="6" t="n">
        <f aca="false">E710*$Q$2</f>
        <v>50</v>
      </c>
      <c r="L710" s="7" t="n">
        <f aca="false">K710/PI()</f>
        <v>15.9154943091895</v>
      </c>
      <c r="M710" s="8" t="n">
        <f aca="false">PI()*L710^2/40000</f>
        <v>0.0198943678864869</v>
      </c>
      <c r="N710" s="7" t="n">
        <f aca="false">F710*$Q$3</f>
        <v>8.5</v>
      </c>
      <c r="O710" s="3"/>
      <c r="P710" s="3"/>
      <c r="Q710" s="3"/>
    </row>
    <row r="711" customFormat="false" ht="15" hidden="false" customHeight="false" outlineLevel="0" collapsed="false">
      <c r="A711" s="2" t="s">
        <v>70</v>
      </c>
      <c r="B711" s="2" t="n">
        <v>1</v>
      </c>
      <c r="C711" s="2" t="n">
        <v>22</v>
      </c>
      <c r="D711" s="2" t="n">
        <v>1</v>
      </c>
      <c r="E711" s="2" t="n">
        <v>540</v>
      </c>
      <c r="F711" s="2" t="n">
        <v>130</v>
      </c>
      <c r="G711" s="2" t="s">
        <v>37</v>
      </c>
      <c r="H711" s="6" t="str">
        <f aca="false">A711&amp;"_"&amp;B711</f>
        <v>retiro_1</v>
      </c>
      <c r="I711" s="6" t="str">
        <f aca="false">H711&amp;"_"&amp;C711&amp;"_"&amp;G711</f>
        <v>retiro_1_22_Tabebuia cassinoides</v>
      </c>
      <c r="J711" s="6" t="n">
        <f aca="false">IF(COUNTIF($I$2:I711,I711)=1,1,0)</f>
        <v>1</v>
      </c>
      <c r="K711" s="6" t="n">
        <f aca="false">E711*$Q$2</f>
        <v>54</v>
      </c>
      <c r="L711" s="7" t="n">
        <f aca="false">K711/PI()</f>
        <v>17.1887338539247</v>
      </c>
      <c r="M711" s="8" t="n">
        <f aca="false">PI()*L711^2/40000</f>
        <v>0.0232047907027983</v>
      </c>
      <c r="N711" s="7" t="n">
        <f aca="false">F711*$Q$3</f>
        <v>13</v>
      </c>
      <c r="O711" s="3"/>
      <c r="P711" s="3"/>
      <c r="Q711" s="3"/>
    </row>
    <row r="712" customFormat="false" ht="15" hidden="false" customHeight="false" outlineLevel="0" collapsed="false">
      <c r="A712" s="2" t="s">
        <v>70</v>
      </c>
      <c r="B712" s="2" t="n">
        <v>1</v>
      </c>
      <c r="C712" s="2" t="n">
        <v>23</v>
      </c>
      <c r="D712" s="2" t="n">
        <v>1</v>
      </c>
      <c r="E712" s="2" t="n">
        <v>380</v>
      </c>
      <c r="F712" s="2" t="n">
        <v>100</v>
      </c>
      <c r="G712" s="2" t="s">
        <v>37</v>
      </c>
      <c r="H712" s="6" t="str">
        <f aca="false">A712&amp;"_"&amp;B712</f>
        <v>retiro_1</v>
      </c>
      <c r="I712" s="6" t="str">
        <f aca="false">H712&amp;"_"&amp;C712&amp;"_"&amp;G712</f>
        <v>retiro_1_23_Tabebuia cassinoides</v>
      </c>
      <c r="J712" s="6" t="n">
        <f aca="false">IF(COUNTIF($I$2:I712,I712)=1,1,0)</f>
        <v>1</v>
      </c>
      <c r="K712" s="6" t="n">
        <f aca="false">E712*$Q$2</f>
        <v>38</v>
      </c>
      <c r="L712" s="7" t="n">
        <f aca="false">K712/PI()</f>
        <v>12.095775674984</v>
      </c>
      <c r="M712" s="8" t="n">
        <f aca="false">PI()*L712^2/40000</f>
        <v>0.0114909868912348</v>
      </c>
      <c r="N712" s="7" t="n">
        <f aca="false">F712*$Q$3</f>
        <v>10</v>
      </c>
      <c r="O712" s="3"/>
      <c r="P712" s="3"/>
      <c r="Q712" s="3"/>
    </row>
    <row r="713" customFormat="false" ht="15" hidden="false" customHeight="false" outlineLevel="0" collapsed="false">
      <c r="A713" s="2" t="s">
        <v>70</v>
      </c>
      <c r="B713" s="2" t="n">
        <v>1</v>
      </c>
      <c r="C713" s="2" t="n">
        <v>23</v>
      </c>
      <c r="D713" s="2" t="n">
        <v>2</v>
      </c>
      <c r="E713" s="2" t="n">
        <v>530</v>
      </c>
      <c r="F713" s="2" t="n">
        <v>100</v>
      </c>
      <c r="G713" s="2" t="s">
        <v>37</v>
      </c>
      <c r="H713" s="6" t="str">
        <f aca="false">A713&amp;"_"&amp;B713</f>
        <v>retiro_1</v>
      </c>
      <c r="I713" s="6" t="str">
        <f aca="false">H713&amp;"_"&amp;C713&amp;"_"&amp;G713</f>
        <v>retiro_1_23_Tabebuia cassinoides</v>
      </c>
      <c r="J713" s="6" t="n">
        <f aca="false">IF(COUNTIF($I$2:I713,I713)=1,1,0)</f>
        <v>0</v>
      </c>
      <c r="K713" s="6" t="n">
        <f aca="false">E713*$Q$2</f>
        <v>53</v>
      </c>
      <c r="L713" s="7" t="n">
        <f aca="false">K713/PI()</f>
        <v>16.8704239677409</v>
      </c>
      <c r="M713" s="8" t="n">
        <f aca="false">PI()*L713^2/40000</f>
        <v>0.0223533117572567</v>
      </c>
      <c r="N713" s="7" t="n">
        <f aca="false">F713*$Q$3</f>
        <v>10</v>
      </c>
      <c r="O713" s="3"/>
      <c r="P713" s="3"/>
      <c r="Q713" s="3"/>
    </row>
    <row r="714" customFormat="false" ht="15" hidden="false" customHeight="false" outlineLevel="0" collapsed="false">
      <c r="A714" s="2" t="s">
        <v>70</v>
      </c>
      <c r="B714" s="2" t="n">
        <v>1</v>
      </c>
      <c r="C714" s="2" t="n">
        <v>23</v>
      </c>
      <c r="D714" s="2" t="n">
        <v>3</v>
      </c>
      <c r="E714" s="2" t="n">
        <v>585</v>
      </c>
      <c r="F714" s="2" t="n">
        <v>100</v>
      </c>
      <c r="G714" s="2" t="s">
        <v>37</v>
      </c>
      <c r="H714" s="6" t="str">
        <f aca="false">A714&amp;"_"&amp;B714</f>
        <v>retiro_1</v>
      </c>
      <c r="I714" s="6" t="str">
        <f aca="false">H714&amp;"_"&amp;C714&amp;"_"&amp;G714</f>
        <v>retiro_1_23_Tabebuia cassinoides</v>
      </c>
      <c r="J714" s="6" t="n">
        <f aca="false">IF(COUNTIF($I$2:I714,I714)=1,1,0)</f>
        <v>0</v>
      </c>
      <c r="K714" s="6" t="n">
        <f aca="false">E714*$Q$2</f>
        <v>58.5</v>
      </c>
      <c r="L714" s="7" t="n">
        <f aca="false">K714/PI()</f>
        <v>18.6211283417518</v>
      </c>
      <c r="M714" s="8" t="n">
        <f aca="false">PI()*L714^2/40000</f>
        <v>0.0272334001998119</v>
      </c>
      <c r="N714" s="7" t="n">
        <f aca="false">F714*$Q$3</f>
        <v>10</v>
      </c>
      <c r="O714" s="3"/>
      <c r="P714" s="3"/>
      <c r="Q714" s="3"/>
    </row>
    <row r="715" customFormat="false" ht="15" hidden="false" customHeight="false" outlineLevel="0" collapsed="false">
      <c r="A715" s="2" t="s">
        <v>70</v>
      </c>
      <c r="B715" s="2" t="n">
        <v>1</v>
      </c>
      <c r="C715" s="2" t="n">
        <v>23</v>
      </c>
      <c r="D715" s="2" t="n">
        <v>4</v>
      </c>
      <c r="E715" s="2" t="n">
        <v>180</v>
      </c>
      <c r="F715" s="2" t="n">
        <v>100</v>
      </c>
      <c r="G715" s="2" t="s">
        <v>37</v>
      </c>
      <c r="H715" s="6" t="str">
        <f aca="false">A715&amp;"_"&amp;B715</f>
        <v>retiro_1</v>
      </c>
      <c r="I715" s="6" t="str">
        <f aca="false">H715&amp;"_"&amp;C715&amp;"_"&amp;G715</f>
        <v>retiro_1_23_Tabebuia cassinoides</v>
      </c>
      <c r="J715" s="6" t="n">
        <f aca="false">IF(COUNTIF($I$2:I715,I715)=1,1,0)</f>
        <v>0</v>
      </c>
      <c r="K715" s="6" t="n">
        <f aca="false">E715*$Q$2</f>
        <v>18</v>
      </c>
      <c r="L715" s="7" t="n">
        <f aca="false">K715/PI()</f>
        <v>5.72957795130823</v>
      </c>
      <c r="M715" s="8" t="n">
        <f aca="false">PI()*L715^2/40000</f>
        <v>0.0025783100780887</v>
      </c>
      <c r="N715" s="7" t="n">
        <f aca="false">F715*$Q$3</f>
        <v>10</v>
      </c>
      <c r="O715" s="3"/>
      <c r="P715" s="3"/>
      <c r="Q715" s="3"/>
    </row>
    <row r="716" customFormat="false" ht="15" hidden="false" customHeight="false" outlineLevel="0" collapsed="false">
      <c r="A716" s="2" t="s">
        <v>70</v>
      </c>
      <c r="B716" s="2" t="n">
        <v>1</v>
      </c>
      <c r="C716" s="2" t="n">
        <v>23</v>
      </c>
      <c r="D716" s="2" t="n">
        <v>5</v>
      </c>
      <c r="E716" s="2" t="n">
        <v>70</v>
      </c>
      <c r="F716" s="2" t="n">
        <v>100</v>
      </c>
      <c r="G716" s="2" t="s">
        <v>37</v>
      </c>
      <c r="H716" s="6" t="str">
        <f aca="false">A716&amp;"_"&amp;B716</f>
        <v>retiro_1</v>
      </c>
      <c r="I716" s="6" t="str">
        <f aca="false">H716&amp;"_"&amp;C716&amp;"_"&amp;G716</f>
        <v>retiro_1_23_Tabebuia cassinoides</v>
      </c>
      <c r="J716" s="6" t="n">
        <f aca="false">IF(COUNTIF($I$2:I716,I716)=1,1,0)</f>
        <v>0</v>
      </c>
      <c r="K716" s="6" t="n">
        <f aca="false">E716*$Q$2</f>
        <v>7</v>
      </c>
      <c r="L716" s="7" t="n">
        <f aca="false">K716/PI()</f>
        <v>2.22816920328654</v>
      </c>
      <c r="M716" s="8" t="n">
        <f aca="false">PI()*L716^2/40000</f>
        <v>0.000389929610575144</v>
      </c>
      <c r="N716" s="7" t="n">
        <f aca="false">F716*$Q$3</f>
        <v>10</v>
      </c>
      <c r="O716" s="3"/>
      <c r="P716" s="3"/>
      <c r="Q716" s="3"/>
    </row>
    <row r="717" customFormat="false" ht="15" hidden="false" customHeight="false" outlineLevel="0" collapsed="false">
      <c r="A717" s="2" t="s">
        <v>70</v>
      </c>
      <c r="B717" s="2" t="n">
        <v>1</v>
      </c>
      <c r="C717" s="2" t="n">
        <v>23</v>
      </c>
      <c r="D717" s="2" t="n">
        <v>6</v>
      </c>
      <c r="E717" s="2" t="n">
        <v>85</v>
      </c>
      <c r="F717" s="2" t="n">
        <v>100</v>
      </c>
      <c r="G717" s="2" t="s">
        <v>37</v>
      </c>
      <c r="H717" s="6" t="str">
        <f aca="false">A717&amp;"_"&amp;B717</f>
        <v>retiro_1</v>
      </c>
      <c r="I717" s="6" t="str">
        <f aca="false">H717&amp;"_"&amp;C717&amp;"_"&amp;G717</f>
        <v>retiro_1_23_Tabebuia cassinoides</v>
      </c>
      <c r="J717" s="6" t="n">
        <f aca="false">IF(COUNTIF($I$2:I717,I717)=1,1,0)</f>
        <v>0</v>
      </c>
      <c r="K717" s="6" t="n">
        <f aca="false">E717*$Q$2</f>
        <v>8.5</v>
      </c>
      <c r="L717" s="7" t="n">
        <f aca="false">K717/PI()</f>
        <v>2.70563403256222</v>
      </c>
      <c r="M717" s="8" t="n">
        <f aca="false">PI()*L717^2/40000</f>
        <v>0.000574947231919472</v>
      </c>
      <c r="N717" s="7" t="n">
        <f aca="false">F717*$Q$3</f>
        <v>10</v>
      </c>
      <c r="O717" s="3"/>
      <c r="P717" s="3"/>
      <c r="Q717" s="3"/>
    </row>
    <row r="718" customFormat="false" ht="15" hidden="false" customHeight="false" outlineLevel="0" collapsed="false">
      <c r="A718" s="2" t="s">
        <v>70</v>
      </c>
      <c r="B718" s="2" t="n">
        <v>1</v>
      </c>
      <c r="C718" s="2" t="n">
        <v>23</v>
      </c>
      <c r="D718" s="2" t="n">
        <v>7</v>
      </c>
      <c r="E718" s="2" t="n">
        <v>220</v>
      </c>
      <c r="F718" s="2" t="n">
        <v>100</v>
      </c>
      <c r="G718" s="2" t="s">
        <v>37</v>
      </c>
      <c r="H718" s="6" t="str">
        <f aca="false">A718&amp;"_"&amp;B718</f>
        <v>retiro_1</v>
      </c>
      <c r="I718" s="6" t="str">
        <f aca="false">H718&amp;"_"&amp;C718&amp;"_"&amp;G718</f>
        <v>retiro_1_23_Tabebuia cassinoides</v>
      </c>
      <c r="J718" s="6" t="n">
        <f aca="false">IF(COUNTIF($I$2:I718,I718)=1,1,0)</f>
        <v>0</v>
      </c>
      <c r="K718" s="6" t="n">
        <f aca="false">E718*$Q$2</f>
        <v>22</v>
      </c>
      <c r="L718" s="7" t="n">
        <f aca="false">K718/PI()</f>
        <v>7.0028174960434</v>
      </c>
      <c r="M718" s="8" t="n">
        <f aca="false">PI()*L718^2/40000</f>
        <v>0.00385154962282387</v>
      </c>
      <c r="N718" s="7" t="n">
        <f aca="false">F718*$Q$3</f>
        <v>10</v>
      </c>
      <c r="O718" s="3"/>
      <c r="P718" s="3"/>
      <c r="Q718" s="3"/>
    </row>
    <row r="719" customFormat="false" ht="15" hidden="false" customHeight="false" outlineLevel="0" collapsed="false">
      <c r="A719" s="2" t="s">
        <v>70</v>
      </c>
      <c r="B719" s="2" t="n">
        <v>1</v>
      </c>
      <c r="C719" s="2" t="n">
        <v>23</v>
      </c>
      <c r="D719" s="2" t="n">
        <v>8</v>
      </c>
      <c r="E719" s="2" t="n">
        <v>80</v>
      </c>
      <c r="F719" s="2" t="n">
        <v>100</v>
      </c>
      <c r="G719" s="2" t="s">
        <v>37</v>
      </c>
      <c r="H719" s="6" t="str">
        <f aca="false">A719&amp;"_"&amp;B719</f>
        <v>retiro_1</v>
      </c>
      <c r="I719" s="6" t="str">
        <f aca="false">H719&amp;"_"&amp;C719&amp;"_"&amp;G719</f>
        <v>retiro_1_23_Tabebuia cassinoides</v>
      </c>
      <c r="J719" s="6" t="n">
        <f aca="false">IF(COUNTIF($I$2:I719,I719)=1,1,0)</f>
        <v>0</v>
      </c>
      <c r="K719" s="6" t="n">
        <f aca="false">E719*$Q$2</f>
        <v>8</v>
      </c>
      <c r="L719" s="7" t="n">
        <f aca="false">K719/PI()</f>
        <v>2.54647908947033</v>
      </c>
      <c r="M719" s="8" t="n">
        <f aca="false">PI()*L719^2/40000</f>
        <v>0.000509295817894065</v>
      </c>
      <c r="N719" s="7" t="n">
        <f aca="false">F719*$Q$3</f>
        <v>10</v>
      </c>
      <c r="O719" s="3"/>
      <c r="P719" s="3"/>
      <c r="Q719" s="3"/>
    </row>
    <row r="720" customFormat="false" ht="15" hidden="false" customHeight="false" outlineLevel="0" collapsed="false">
      <c r="A720" s="2" t="s">
        <v>70</v>
      </c>
      <c r="B720" s="2" t="n">
        <v>1</v>
      </c>
      <c r="C720" s="2" t="n">
        <v>23</v>
      </c>
      <c r="D720" s="2" t="n">
        <v>9</v>
      </c>
      <c r="E720" s="2" t="n">
        <v>100</v>
      </c>
      <c r="F720" s="2" t="n">
        <v>100</v>
      </c>
      <c r="G720" s="2" t="s">
        <v>37</v>
      </c>
      <c r="H720" s="6" t="str">
        <f aca="false">A720&amp;"_"&amp;B720</f>
        <v>retiro_1</v>
      </c>
      <c r="I720" s="6" t="str">
        <f aca="false">H720&amp;"_"&amp;C720&amp;"_"&amp;G720</f>
        <v>retiro_1_23_Tabebuia cassinoides</v>
      </c>
      <c r="J720" s="6" t="n">
        <f aca="false">IF(COUNTIF($I$2:I720,I720)=1,1,0)</f>
        <v>0</v>
      </c>
      <c r="K720" s="6" t="n">
        <f aca="false">E720*$Q$2</f>
        <v>10</v>
      </c>
      <c r="L720" s="7" t="n">
        <f aca="false">K720/PI()</f>
        <v>3.18309886183791</v>
      </c>
      <c r="M720" s="8" t="n">
        <f aca="false">PI()*L720^2/40000</f>
        <v>0.000795774715459477</v>
      </c>
      <c r="N720" s="7" t="n">
        <f aca="false">F720*$Q$3</f>
        <v>10</v>
      </c>
      <c r="O720" s="3"/>
      <c r="P720" s="3"/>
      <c r="Q720" s="3"/>
    </row>
    <row r="721" customFormat="false" ht="15" hidden="false" customHeight="false" outlineLevel="0" collapsed="false">
      <c r="A721" s="2" t="s">
        <v>70</v>
      </c>
      <c r="B721" s="2" t="n">
        <v>1</v>
      </c>
      <c r="C721" s="2" t="n">
        <v>24</v>
      </c>
      <c r="D721" s="2" t="n">
        <v>1</v>
      </c>
      <c r="E721" s="2" t="n">
        <v>310</v>
      </c>
      <c r="F721" s="2" t="n">
        <v>80</v>
      </c>
      <c r="G721" s="2" t="s">
        <v>37</v>
      </c>
      <c r="H721" s="6" t="str">
        <f aca="false">A721&amp;"_"&amp;B721</f>
        <v>retiro_1</v>
      </c>
      <c r="I721" s="6" t="str">
        <f aca="false">H721&amp;"_"&amp;C721&amp;"_"&amp;G721</f>
        <v>retiro_1_24_Tabebuia cassinoides</v>
      </c>
      <c r="J721" s="6" t="n">
        <f aca="false">IF(COUNTIF($I$2:I721,I721)=1,1,0)</f>
        <v>1</v>
      </c>
      <c r="K721" s="6" t="n">
        <f aca="false">E721*$Q$2</f>
        <v>31</v>
      </c>
      <c r="L721" s="7" t="n">
        <f aca="false">K721/PI()</f>
        <v>9.86760647169751</v>
      </c>
      <c r="M721" s="8" t="n">
        <f aca="false">PI()*L721^2/40000</f>
        <v>0.00764739501556557</v>
      </c>
      <c r="N721" s="7" t="n">
        <f aca="false">F721*$Q$3</f>
        <v>8</v>
      </c>
      <c r="O721" s="3"/>
      <c r="P721" s="3"/>
      <c r="Q721" s="3"/>
    </row>
    <row r="722" customFormat="false" ht="15" hidden="false" customHeight="false" outlineLevel="0" collapsed="false">
      <c r="A722" s="2" t="s">
        <v>70</v>
      </c>
      <c r="B722" s="2" t="n">
        <v>1</v>
      </c>
      <c r="C722" s="2" t="n">
        <v>25</v>
      </c>
      <c r="D722" s="2" t="n">
        <v>1</v>
      </c>
      <c r="E722" s="2" t="n">
        <v>485</v>
      </c>
      <c r="F722" s="2" t="n">
        <v>120</v>
      </c>
      <c r="G722" s="2" t="s">
        <v>37</v>
      </c>
      <c r="H722" s="6" t="str">
        <f aca="false">A722&amp;"_"&amp;B722</f>
        <v>retiro_1</v>
      </c>
      <c r="I722" s="6" t="str">
        <f aca="false">H722&amp;"_"&amp;C722&amp;"_"&amp;G722</f>
        <v>retiro_1_25_Tabebuia cassinoides</v>
      </c>
      <c r="J722" s="6" t="n">
        <f aca="false">IF(COUNTIF($I$2:I722,I722)=1,1,0)</f>
        <v>1</v>
      </c>
      <c r="K722" s="6" t="n">
        <f aca="false">E722*$Q$2</f>
        <v>48.5</v>
      </c>
      <c r="L722" s="7" t="n">
        <f aca="false">K722/PI()</f>
        <v>15.4380294799138</v>
      </c>
      <c r="M722" s="8" t="n">
        <f aca="false">PI()*L722^2/40000</f>
        <v>0.0187186107443955</v>
      </c>
      <c r="N722" s="7" t="n">
        <f aca="false">F722*$Q$3</f>
        <v>12</v>
      </c>
      <c r="O722" s="3"/>
      <c r="P722" s="3"/>
      <c r="Q722" s="3"/>
    </row>
    <row r="723" customFormat="false" ht="15" hidden="false" customHeight="false" outlineLevel="0" collapsed="false">
      <c r="A723" s="2" t="s">
        <v>70</v>
      </c>
      <c r="B723" s="2" t="n">
        <v>1</v>
      </c>
      <c r="C723" s="2" t="n">
        <v>25</v>
      </c>
      <c r="D723" s="2" t="n">
        <v>2</v>
      </c>
      <c r="E723" s="2" t="n">
        <v>370</v>
      </c>
      <c r="F723" s="2" t="n">
        <v>120</v>
      </c>
      <c r="G723" s="2" t="s">
        <v>37</v>
      </c>
      <c r="H723" s="6" t="str">
        <f aca="false">A723&amp;"_"&amp;B723</f>
        <v>retiro_1</v>
      </c>
      <c r="I723" s="6" t="str">
        <f aca="false">H723&amp;"_"&amp;C723&amp;"_"&amp;G723</f>
        <v>retiro_1_25_Tabebuia cassinoides</v>
      </c>
      <c r="J723" s="6" t="n">
        <f aca="false">IF(COUNTIF($I$2:I723,I723)=1,1,0)</f>
        <v>0</v>
      </c>
      <c r="K723" s="6" t="n">
        <f aca="false">E723*$Q$2</f>
        <v>37</v>
      </c>
      <c r="L723" s="7" t="n">
        <f aca="false">K723/PI()</f>
        <v>11.7774657888003</v>
      </c>
      <c r="M723" s="8" t="n">
        <f aca="false">PI()*L723^2/40000</f>
        <v>0.0108941558546402</v>
      </c>
      <c r="N723" s="7" t="n">
        <f aca="false">F723*$Q$3</f>
        <v>12</v>
      </c>
      <c r="O723" s="3"/>
      <c r="P723" s="3"/>
      <c r="Q723" s="3"/>
    </row>
    <row r="724" customFormat="false" ht="15" hidden="false" customHeight="false" outlineLevel="0" collapsed="false">
      <c r="A724" s="2" t="s">
        <v>70</v>
      </c>
      <c r="B724" s="2" t="n">
        <v>1</v>
      </c>
      <c r="C724" s="2" t="n">
        <v>26</v>
      </c>
      <c r="D724" s="2" t="n">
        <v>1</v>
      </c>
      <c r="E724" s="2" t="n">
        <v>185</v>
      </c>
      <c r="F724" s="2" t="n">
        <v>60</v>
      </c>
      <c r="G724" s="2" t="s">
        <v>37</v>
      </c>
      <c r="H724" s="6" t="str">
        <f aca="false">A724&amp;"_"&amp;B724</f>
        <v>retiro_1</v>
      </c>
      <c r="I724" s="6" t="str">
        <f aca="false">H724&amp;"_"&amp;C724&amp;"_"&amp;G724</f>
        <v>retiro_1_26_Tabebuia cassinoides</v>
      </c>
      <c r="J724" s="6" t="n">
        <f aca="false">IF(COUNTIF($I$2:I724,I724)=1,1,0)</f>
        <v>1</v>
      </c>
      <c r="K724" s="6" t="n">
        <f aca="false">E724*$Q$2</f>
        <v>18.5</v>
      </c>
      <c r="L724" s="7" t="n">
        <f aca="false">K724/PI()</f>
        <v>5.88873289440013</v>
      </c>
      <c r="M724" s="8" t="n">
        <f aca="false">PI()*L724^2/40000</f>
        <v>0.00272353896366006</v>
      </c>
      <c r="N724" s="7" t="n">
        <f aca="false">F724*$Q$3</f>
        <v>6</v>
      </c>
      <c r="O724" s="3"/>
      <c r="P724" s="3"/>
      <c r="Q724" s="3"/>
    </row>
    <row r="725" customFormat="false" ht="15" hidden="false" customHeight="false" outlineLevel="0" collapsed="false">
      <c r="A725" s="2" t="s">
        <v>70</v>
      </c>
      <c r="B725" s="2" t="n">
        <v>1</v>
      </c>
      <c r="C725" s="2" t="n">
        <v>26</v>
      </c>
      <c r="D725" s="2" t="n">
        <v>2</v>
      </c>
      <c r="E725" s="2" t="n">
        <v>265</v>
      </c>
      <c r="F725" s="2" t="n">
        <v>60</v>
      </c>
      <c r="G725" s="2" t="s">
        <v>37</v>
      </c>
      <c r="H725" s="6" t="str">
        <f aca="false">A725&amp;"_"&amp;B725</f>
        <v>retiro_1</v>
      </c>
      <c r="I725" s="6" t="str">
        <f aca="false">H725&amp;"_"&amp;C725&amp;"_"&amp;G725</f>
        <v>retiro_1_26_Tabebuia cassinoides</v>
      </c>
      <c r="J725" s="6" t="n">
        <f aca="false">IF(COUNTIF($I$2:I725,I725)=1,1,0)</f>
        <v>0</v>
      </c>
      <c r="K725" s="6" t="n">
        <f aca="false">E725*$Q$2</f>
        <v>26.5</v>
      </c>
      <c r="L725" s="7" t="n">
        <f aca="false">K725/PI()</f>
        <v>8.43521198387045</v>
      </c>
      <c r="M725" s="8" t="n">
        <f aca="false">PI()*L725^2/40000</f>
        <v>0.00558832793931417</v>
      </c>
      <c r="N725" s="7" t="n">
        <f aca="false">F725*$Q$3</f>
        <v>6</v>
      </c>
      <c r="O725" s="3"/>
      <c r="P725" s="3"/>
      <c r="Q725" s="3"/>
    </row>
    <row r="726" customFormat="false" ht="15" hidden="false" customHeight="false" outlineLevel="0" collapsed="false">
      <c r="A726" s="2" t="s">
        <v>70</v>
      </c>
      <c r="B726" s="2" t="n">
        <v>1</v>
      </c>
      <c r="C726" s="2" t="n">
        <v>26</v>
      </c>
      <c r="D726" s="2" t="n">
        <v>3</v>
      </c>
      <c r="E726" s="2" t="n">
        <v>70</v>
      </c>
      <c r="F726" s="2" t="n">
        <v>60</v>
      </c>
      <c r="G726" s="2" t="s">
        <v>37</v>
      </c>
      <c r="H726" s="6" t="str">
        <f aca="false">A726&amp;"_"&amp;B726</f>
        <v>retiro_1</v>
      </c>
      <c r="I726" s="6" t="str">
        <f aca="false">H726&amp;"_"&amp;C726&amp;"_"&amp;G726</f>
        <v>retiro_1_26_Tabebuia cassinoides</v>
      </c>
      <c r="J726" s="6" t="n">
        <f aca="false">IF(COUNTIF($I$2:I726,I726)=1,1,0)</f>
        <v>0</v>
      </c>
      <c r="K726" s="6" t="n">
        <f aca="false">E726*$Q$2</f>
        <v>7</v>
      </c>
      <c r="L726" s="7" t="n">
        <f aca="false">K726/PI()</f>
        <v>2.22816920328654</v>
      </c>
      <c r="M726" s="8" t="n">
        <f aca="false">PI()*L726^2/40000</f>
        <v>0.000389929610575144</v>
      </c>
      <c r="N726" s="7" t="n">
        <f aca="false">F726*$Q$3</f>
        <v>6</v>
      </c>
      <c r="O726" s="3"/>
      <c r="P726" s="3"/>
      <c r="Q726" s="3"/>
    </row>
    <row r="727" customFormat="false" ht="15" hidden="false" customHeight="false" outlineLevel="0" collapsed="false">
      <c r="A727" s="2" t="s">
        <v>70</v>
      </c>
      <c r="B727" s="2" t="n">
        <v>1</v>
      </c>
      <c r="C727" s="2" t="n">
        <v>26</v>
      </c>
      <c r="D727" s="2" t="n">
        <v>4</v>
      </c>
      <c r="E727" s="2" t="n">
        <v>70</v>
      </c>
      <c r="F727" s="2" t="n">
        <v>60</v>
      </c>
      <c r="G727" s="2" t="s">
        <v>37</v>
      </c>
      <c r="H727" s="6" t="str">
        <f aca="false">A727&amp;"_"&amp;B727</f>
        <v>retiro_1</v>
      </c>
      <c r="I727" s="6" t="str">
        <f aca="false">H727&amp;"_"&amp;C727&amp;"_"&amp;G727</f>
        <v>retiro_1_26_Tabebuia cassinoides</v>
      </c>
      <c r="J727" s="6" t="n">
        <f aca="false">IF(COUNTIF($I$2:I727,I727)=1,1,0)</f>
        <v>0</v>
      </c>
      <c r="K727" s="6" t="n">
        <f aca="false">E727*$Q$2</f>
        <v>7</v>
      </c>
      <c r="L727" s="7" t="n">
        <f aca="false">K727/PI()</f>
        <v>2.22816920328654</v>
      </c>
      <c r="M727" s="8" t="n">
        <f aca="false">PI()*L727^2/40000</f>
        <v>0.000389929610575144</v>
      </c>
      <c r="N727" s="7" t="n">
        <f aca="false">F727*$Q$3</f>
        <v>6</v>
      </c>
      <c r="O727" s="3"/>
      <c r="P727" s="3"/>
      <c r="Q727" s="3"/>
    </row>
    <row r="728" customFormat="false" ht="15" hidden="false" customHeight="false" outlineLevel="0" collapsed="false">
      <c r="A728" s="2" t="s">
        <v>70</v>
      </c>
      <c r="B728" s="2" t="n">
        <v>1</v>
      </c>
      <c r="C728" s="2" t="n">
        <v>26</v>
      </c>
      <c r="D728" s="2" t="n">
        <v>5</v>
      </c>
      <c r="E728" s="2" t="n">
        <v>45</v>
      </c>
      <c r="F728" s="2" t="n">
        <v>60</v>
      </c>
      <c r="G728" s="2" t="s">
        <v>37</v>
      </c>
      <c r="H728" s="6" t="str">
        <f aca="false">A728&amp;"_"&amp;B728</f>
        <v>retiro_1</v>
      </c>
      <c r="I728" s="6" t="str">
        <f aca="false">H728&amp;"_"&amp;C728&amp;"_"&amp;G728</f>
        <v>retiro_1_26_Tabebuia cassinoides</v>
      </c>
      <c r="J728" s="6" t="n">
        <f aca="false">IF(COUNTIF($I$2:I728,I728)=1,1,0)</f>
        <v>0</v>
      </c>
      <c r="K728" s="6" t="n">
        <f aca="false">E728*$Q$2</f>
        <v>4.5</v>
      </c>
      <c r="L728" s="7" t="n">
        <f aca="false">K728/PI()</f>
        <v>1.43239448782706</v>
      </c>
      <c r="M728" s="8" t="n">
        <f aca="false">PI()*L728^2/40000</f>
        <v>0.000161144379880544</v>
      </c>
      <c r="N728" s="7" t="n">
        <f aca="false">F728*$Q$3</f>
        <v>6</v>
      </c>
      <c r="O728" s="3"/>
      <c r="P728" s="3"/>
      <c r="Q728" s="3"/>
    </row>
    <row r="729" customFormat="false" ht="15" hidden="false" customHeight="false" outlineLevel="0" collapsed="false">
      <c r="A729" s="2" t="s">
        <v>70</v>
      </c>
      <c r="B729" s="2" t="n">
        <v>1</v>
      </c>
      <c r="C729" s="2" t="n">
        <v>26</v>
      </c>
      <c r="D729" s="2" t="n">
        <v>6</v>
      </c>
      <c r="E729" s="2" t="n">
        <v>110</v>
      </c>
      <c r="F729" s="2" t="n">
        <v>60</v>
      </c>
      <c r="G729" s="2" t="s">
        <v>37</v>
      </c>
      <c r="H729" s="6" t="str">
        <f aca="false">A729&amp;"_"&amp;B729</f>
        <v>retiro_1</v>
      </c>
      <c r="I729" s="6" t="str">
        <f aca="false">H729&amp;"_"&amp;C729&amp;"_"&amp;G729</f>
        <v>retiro_1_26_Tabebuia cassinoides</v>
      </c>
      <c r="J729" s="6" t="n">
        <f aca="false">IF(COUNTIF($I$2:I729,I729)=1,1,0)</f>
        <v>0</v>
      </c>
      <c r="K729" s="6" t="n">
        <f aca="false">E729*$Q$2</f>
        <v>11</v>
      </c>
      <c r="L729" s="7" t="n">
        <f aca="false">K729/PI()</f>
        <v>3.5014087480217</v>
      </c>
      <c r="M729" s="8" t="n">
        <f aca="false">PI()*L729^2/40000</f>
        <v>0.000962887405705967</v>
      </c>
      <c r="N729" s="7" t="n">
        <f aca="false">F729*$Q$3</f>
        <v>6</v>
      </c>
      <c r="O729" s="3"/>
      <c r="P729" s="3"/>
      <c r="Q729" s="3"/>
    </row>
    <row r="730" customFormat="false" ht="15" hidden="false" customHeight="false" outlineLevel="0" collapsed="false">
      <c r="A730" s="2" t="s">
        <v>70</v>
      </c>
      <c r="B730" s="2" t="n">
        <v>1</v>
      </c>
      <c r="C730" s="2" t="n">
        <v>26</v>
      </c>
      <c r="D730" s="2" t="n">
        <v>7</v>
      </c>
      <c r="E730" s="2" t="n">
        <v>275</v>
      </c>
      <c r="F730" s="2" t="n">
        <v>160</v>
      </c>
      <c r="G730" s="2" t="s">
        <v>37</v>
      </c>
      <c r="H730" s="6" t="str">
        <f aca="false">A730&amp;"_"&amp;B730</f>
        <v>retiro_1</v>
      </c>
      <c r="I730" s="6" t="str">
        <f aca="false">H730&amp;"_"&amp;C730&amp;"_"&amp;G730</f>
        <v>retiro_1_26_Tabebuia cassinoides</v>
      </c>
      <c r="J730" s="6" t="n">
        <f aca="false">IF(COUNTIF($I$2:I730,I730)=1,1,0)</f>
        <v>0</v>
      </c>
      <c r="K730" s="6" t="n">
        <f aca="false">E730*$Q$2</f>
        <v>27.5</v>
      </c>
      <c r="L730" s="7" t="n">
        <f aca="false">K730/PI()</f>
        <v>8.75352187005424</v>
      </c>
      <c r="M730" s="8" t="n">
        <f aca="false">PI()*L730^2/40000</f>
        <v>0.00601804628566229</v>
      </c>
      <c r="N730" s="7" t="n">
        <f aca="false">F730*$Q$3</f>
        <v>16</v>
      </c>
      <c r="O730" s="3"/>
      <c r="P730" s="3"/>
      <c r="Q730" s="3"/>
    </row>
    <row r="731" customFormat="false" ht="15" hidden="false" customHeight="false" outlineLevel="0" collapsed="false">
      <c r="A731" s="2" t="s">
        <v>70</v>
      </c>
      <c r="B731" s="2" t="n">
        <v>1</v>
      </c>
      <c r="C731" s="2" t="n">
        <v>27</v>
      </c>
      <c r="D731" s="2" t="n">
        <v>1</v>
      </c>
      <c r="E731" s="2" t="n">
        <v>490</v>
      </c>
      <c r="F731" s="2" t="n">
        <v>140</v>
      </c>
      <c r="G731" s="2" t="s">
        <v>37</v>
      </c>
      <c r="H731" s="6" t="str">
        <f aca="false">A731&amp;"_"&amp;B731</f>
        <v>retiro_1</v>
      </c>
      <c r="I731" s="6" t="str">
        <f aca="false">H731&amp;"_"&amp;C731&amp;"_"&amp;G731</f>
        <v>retiro_1_27_Tabebuia cassinoides</v>
      </c>
      <c r="J731" s="6" t="n">
        <f aca="false">IF(COUNTIF($I$2:I731,I731)=1,1,0)</f>
        <v>1</v>
      </c>
      <c r="K731" s="6" t="n">
        <f aca="false">E731*$Q$2</f>
        <v>49</v>
      </c>
      <c r="L731" s="7" t="n">
        <f aca="false">K731/PI()</f>
        <v>15.5971844230057</v>
      </c>
      <c r="M731" s="8" t="n">
        <f aca="false">PI()*L731^2/40000</f>
        <v>0.019106550918182</v>
      </c>
      <c r="N731" s="7" t="n">
        <f aca="false">F731*$Q$3</f>
        <v>14</v>
      </c>
      <c r="O731" s="3"/>
      <c r="P731" s="3"/>
      <c r="Q731" s="3"/>
    </row>
    <row r="732" customFormat="false" ht="15" hidden="false" customHeight="false" outlineLevel="0" collapsed="false">
      <c r="A732" s="2" t="s">
        <v>70</v>
      </c>
      <c r="B732" s="2" t="n">
        <v>1</v>
      </c>
      <c r="C732" s="2" t="n">
        <v>27</v>
      </c>
      <c r="D732" s="2" t="n">
        <v>2</v>
      </c>
      <c r="E732" s="2" t="n">
        <v>460</v>
      </c>
      <c r="F732" s="2" t="n">
        <v>140</v>
      </c>
      <c r="G732" s="2" t="s">
        <v>37</v>
      </c>
      <c r="H732" s="6" t="str">
        <f aca="false">A732&amp;"_"&amp;B732</f>
        <v>retiro_1</v>
      </c>
      <c r="I732" s="6" t="str">
        <f aca="false">H732&amp;"_"&amp;C732&amp;"_"&amp;G732</f>
        <v>retiro_1_27_Tabebuia cassinoides</v>
      </c>
      <c r="J732" s="6" t="n">
        <f aca="false">IF(COUNTIF($I$2:I732,I732)=1,1,0)</f>
        <v>0</v>
      </c>
      <c r="K732" s="6" t="n">
        <f aca="false">E732*$Q$2</f>
        <v>46</v>
      </c>
      <c r="L732" s="7" t="n">
        <f aca="false">K732/PI()</f>
        <v>14.6422547644544</v>
      </c>
      <c r="M732" s="8" t="n">
        <f aca="false">PI()*L732^2/40000</f>
        <v>0.0168385929791225</v>
      </c>
      <c r="N732" s="7" t="n">
        <f aca="false">F732*$Q$3</f>
        <v>14</v>
      </c>
      <c r="O732" s="3"/>
      <c r="P732" s="3"/>
      <c r="Q732" s="3"/>
    </row>
    <row r="733" customFormat="false" ht="15" hidden="false" customHeight="false" outlineLevel="0" collapsed="false">
      <c r="A733" s="2" t="s">
        <v>70</v>
      </c>
      <c r="B733" s="2" t="n">
        <v>1</v>
      </c>
      <c r="C733" s="2" t="n">
        <v>27</v>
      </c>
      <c r="D733" s="2" t="n">
        <v>3</v>
      </c>
      <c r="E733" s="2" t="n">
        <v>345</v>
      </c>
      <c r="F733" s="2" t="n">
        <v>140</v>
      </c>
      <c r="G733" s="2" t="s">
        <v>37</v>
      </c>
      <c r="H733" s="6" t="str">
        <f aca="false">A733&amp;"_"&amp;B733</f>
        <v>retiro_1</v>
      </c>
      <c r="I733" s="6" t="str">
        <f aca="false">H733&amp;"_"&amp;C733&amp;"_"&amp;G733</f>
        <v>retiro_1_27_Tabebuia cassinoides</v>
      </c>
      <c r="J733" s="6" t="n">
        <f aca="false">IF(COUNTIF($I$2:I733,I733)=1,1,0)</f>
        <v>0</v>
      </c>
      <c r="K733" s="6" t="n">
        <f aca="false">E733*$Q$2</f>
        <v>34.5</v>
      </c>
      <c r="L733" s="7" t="n">
        <f aca="false">K733/PI()</f>
        <v>10.9816910733408</v>
      </c>
      <c r="M733" s="8" t="n">
        <f aca="false">PI()*L733^2/40000</f>
        <v>0.00947170855075642</v>
      </c>
      <c r="N733" s="7" t="n">
        <f aca="false">F733*$Q$3</f>
        <v>14</v>
      </c>
      <c r="O733" s="3"/>
      <c r="P733" s="3"/>
      <c r="Q733" s="3"/>
    </row>
    <row r="734" customFormat="false" ht="15" hidden="false" customHeight="false" outlineLevel="0" collapsed="false">
      <c r="A734" s="2" t="s">
        <v>70</v>
      </c>
      <c r="B734" s="2" t="n">
        <v>1</v>
      </c>
      <c r="C734" s="2" t="n">
        <v>27</v>
      </c>
      <c r="D734" s="2" t="n">
        <v>4</v>
      </c>
      <c r="E734" s="2" t="n">
        <v>400</v>
      </c>
      <c r="F734" s="2" t="n">
        <v>140</v>
      </c>
      <c r="G734" s="2" t="s">
        <v>37</v>
      </c>
      <c r="H734" s="6" t="str">
        <f aca="false">A734&amp;"_"&amp;B734</f>
        <v>retiro_1</v>
      </c>
      <c r="I734" s="6" t="str">
        <f aca="false">H734&amp;"_"&amp;C734&amp;"_"&amp;G734</f>
        <v>retiro_1_27_Tabebuia cassinoides</v>
      </c>
      <c r="J734" s="6" t="n">
        <f aca="false">IF(COUNTIF($I$2:I734,I734)=1,1,0)</f>
        <v>0</v>
      </c>
      <c r="K734" s="6" t="n">
        <f aca="false">E734*$Q$2</f>
        <v>40</v>
      </c>
      <c r="L734" s="7" t="n">
        <f aca="false">K734/PI()</f>
        <v>12.7323954473516</v>
      </c>
      <c r="M734" s="8" t="n">
        <f aca="false">PI()*L734^2/40000</f>
        <v>0.0127323954473516</v>
      </c>
      <c r="N734" s="7" t="n">
        <f aca="false">F734*$Q$3</f>
        <v>14</v>
      </c>
      <c r="O734" s="3"/>
      <c r="P734" s="3"/>
      <c r="Q734" s="3"/>
    </row>
    <row r="735" customFormat="false" ht="15" hidden="false" customHeight="false" outlineLevel="0" collapsed="false">
      <c r="A735" s="2" t="s">
        <v>70</v>
      </c>
      <c r="B735" s="2" t="n">
        <v>1</v>
      </c>
      <c r="C735" s="2" t="n">
        <v>27</v>
      </c>
      <c r="D735" s="2" t="n">
        <v>5</v>
      </c>
      <c r="E735" s="2" t="n">
        <v>150</v>
      </c>
      <c r="F735" s="2" t="n">
        <v>140</v>
      </c>
      <c r="G735" s="2" t="s">
        <v>37</v>
      </c>
      <c r="H735" s="6" t="str">
        <f aca="false">A735&amp;"_"&amp;B735</f>
        <v>retiro_1</v>
      </c>
      <c r="I735" s="6" t="str">
        <f aca="false">H735&amp;"_"&amp;C735&amp;"_"&amp;G735</f>
        <v>retiro_1_27_Tabebuia cassinoides</v>
      </c>
      <c r="J735" s="6" t="n">
        <f aca="false">IF(COUNTIF($I$2:I735,I735)=1,1,0)</f>
        <v>0</v>
      </c>
      <c r="K735" s="6" t="n">
        <f aca="false">E735*$Q$2</f>
        <v>15</v>
      </c>
      <c r="L735" s="7" t="n">
        <f aca="false">K735/PI()</f>
        <v>4.77464829275686</v>
      </c>
      <c r="M735" s="8" t="n">
        <f aca="false">PI()*L735^2/40000</f>
        <v>0.00179049310978382</v>
      </c>
      <c r="N735" s="7" t="n">
        <f aca="false">F735*$Q$3</f>
        <v>14</v>
      </c>
      <c r="O735" s="3"/>
      <c r="P735" s="3"/>
      <c r="Q735" s="3"/>
    </row>
    <row r="736" customFormat="false" ht="15" hidden="false" customHeight="false" outlineLevel="0" collapsed="false">
      <c r="A736" s="2" t="s">
        <v>70</v>
      </c>
      <c r="B736" s="2" t="n">
        <v>1</v>
      </c>
      <c r="C736" s="2" t="n">
        <v>27</v>
      </c>
      <c r="D736" s="2" t="n">
        <v>6</v>
      </c>
      <c r="E736" s="2" t="n">
        <v>210</v>
      </c>
      <c r="F736" s="2" t="n">
        <v>140</v>
      </c>
      <c r="G736" s="2" t="s">
        <v>37</v>
      </c>
      <c r="H736" s="6" t="str">
        <f aca="false">A736&amp;"_"&amp;B736</f>
        <v>retiro_1</v>
      </c>
      <c r="I736" s="6" t="str">
        <f aca="false">H736&amp;"_"&amp;C736&amp;"_"&amp;G736</f>
        <v>retiro_1_27_Tabebuia cassinoides</v>
      </c>
      <c r="J736" s="6" t="n">
        <f aca="false">IF(COUNTIF($I$2:I736,I736)=1,1,0)</f>
        <v>0</v>
      </c>
      <c r="K736" s="6" t="n">
        <f aca="false">E736*$Q$2</f>
        <v>21</v>
      </c>
      <c r="L736" s="7" t="n">
        <f aca="false">K736/PI()</f>
        <v>6.68450760985961</v>
      </c>
      <c r="M736" s="8" t="n">
        <f aca="false">PI()*L736^2/40000</f>
        <v>0.00350936649517629</v>
      </c>
      <c r="N736" s="7" t="n">
        <f aca="false">F736*$Q$3</f>
        <v>14</v>
      </c>
      <c r="O736" s="3"/>
      <c r="P736" s="3"/>
      <c r="Q736" s="3"/>
    </row>
    <row r="737" customFormat="false" ht="15" hidden="false" customHeight="false" outlineLevel="0" collapsed="false">
      <c r="A737" s="2" t="s">
        <v>70</v>
      </c>
      <c r="B737" s="2" t="n">
        <v>1</v>
      </c>
      <c r="C737" s="2" t="n">
        <v>27</v>
      </c>
      <c r="D737" s="2" t="n">
        <v>7</v>
      </c>
      <c r="E737" s="2" t="n">
        <v>305</v>
      </c>
      <c r="F737" s="2" t="n">
        <v>140</v>
      </c>
      <c r="G737" s="2" t="s">
        <v>37</v>
      </c>
      <c r="H737" s="6" t="str">
        <f aca="false">A737&amp;"_"&amp;B737</f>
        <v>retiro_1</v>
      </c>
      <c r="I737" s="6" t="str">
        <f aca="false">H737&amp;"_"&amp;C737&amp;"_"&amp;G737</f>
        <v>retiro_1_27_Tabebuia cassinoides</v>
      </c>
      <c r="J737" s="6" t="n">
        <f aca="false">IF(COUNTIF($I$2:I737,I737)=1,1,0)</f>
        <v>0</v>
      </c>
      <c r="K737" s="6" t="n">
        <f aca="false">E737*$Q$2</f>
        <v>30.5</v>
      </c>
      <c r="L737" s="7" t="n">
        <f aca="false">K737/PI()</f>
        <v>9.70845152860562</v>
      </c>
      <c r="M737" s="8" t="n">
        <f aca="false">PI()*L737^2/40000</f>
        <v>0.00740269429056178</v>
      </c>
      <c r="N737" s="7" t="n">
        <f aca="false">F737*$Q$3</f>
        <v>14</v>
      </c>
      <c r="O737" s="3"/>
      <c r="P737" s="3"/>
      <c r="Q737" s="3"/>
    </row>
    <row r="738" customFormat="false" ht="15" hidden="false" customHeight="false" outlineLevel="0" collapsed="false">
      <c r="A738" s="2" t="s">
        <v>70</v>
      </c>
      <c r="B738" s="2" t="n">
        <v>1</v>
      </c>
      <c r="C738" s="2" t="n">
        <v>28</v>
      </c>
      <c r="D738" s="2" t="n">
        <v>1</v>
      </c>
      <c r="E738" s="2" t="n">
        <v>390</v>
      </c>
      <c r="F738" s="2" t="n">
        <v>90</v>
      </c>
      <c r="G738" s="2" t="s">
        <v>37</v>
      </c>
      <c r="H738" s="6" t="str">
        <f aca="false">A738&amp;"_"&amp;B738</f>
        <v>retiro_1</v>
      </c>
      <c r="I738" s="6" t="str">
        <f aca="false">H738&amp;"_"&amp;C738&amp;"_"&amp;G738</f>
        <v>retiro_1_28_Tabebuia cassinoides</v>
      </c>
      <c r="J738" s="6" t="n">
        <f aca="false">IF(COUNTIF($I$2:I738,I738)=1,1,0)</f>
        <v>1</v>
      </c>
      <c r="K738" s="6" t="n">
        <f aca="false">E738*$Q$2</f>
        <v>39</v>
      </c>
      <c r="L738" s="7" t="n">
        <f aca="false">K738/PI()</f>
        <v>12.4140855611678</v>
      </c>
      <c r="M738" s="8" t="n">
        <f aca="false">PI()*L738^2/40000</f>
        <v>0.0121037334221386</v>
      </c>
      <c r="N738" s="7" t="n">
        <f aca="false">F738*$Q$3</f>
        <v>9</v>
      </c>
      <c r="O738" s="3"/>
      <c r="P738" s="3"/>
      <c r="Q738" s="3"/>
    </row>
    <row r="739" customFormat="false" ht="15" hidden="false" customHeight="false" outlineLevel="0" collapsed="false">
      <c r="A739" s="2" t="s">
        <v>70</v>
      </c>
      <c r="B739" s="2" t="n">
        <v>1</v>
      </c>
      <c r="C739" s="2" t="n">
        <v>28</v>
      </c>
      <c r="D739" s="2" t="n">
        <v>2</v>
      </c>
      <c r="E739" s="2" t="n">
        <v>150</v>
      </c>
      <c r="F739" s="2" t="n">
        <v>90</v>
      </c>
      <c r="G739" s="2" t="s">
        <v>37</v>
      </c>
      <c r="H739" s="6" t="str">
        <f aca="false">A739&amp;"_"&amp;B739</f>
        <v>retiro_1</v>
      </c>
      <c r="I739" s="6" t="str">
        <f aca="false">H739&amp;"_"&amp;C739&amp;"_"&amp;G739</f>
        <v>retiro_1_28_Tabebuia cassinoides</v>
      </c>
      <c r="J739" s="6" t="n">
        <f aca="false">IF(COUNTIF($I$2:I739,I739)=1,1,0)</f>
        <v>0</v>
      </c>
      <c r="K739" s="6" t="n">
        <f aca="false">E739*$Q$2</f>
        <v>15</v>
      </c>
      <c r="L739" s="7" t="n">
        <f aca="false">K739/PI()</f>
        <v>4.77464829275686</v>
      </c>
      <c r="M739" s="8" t="n">
        <f aca="false">PI()*L739^2/40000</f>
        <v>0.00179049310978382</v>
      </c>
      <c r="N739" s="7" t="n">
        <f aca="false">F739*$Q$3</f>
        <v>9</v>
      </c>
      <c r="O739" s="3"/>
      <c r="P739" s="3"/>
      <c r="Q739" s="3"/>
    </row>
    <row r="740" customFormat="false" ht="15" hidden="false" customHeight="false" outlineLevel="0" collapsed="false">
      <c r="A740" s="2" t="s">
        <v>70</v>
      </c>
      <c r="B740" s="2" t="n">
        <v>1</v>
      </c>
      <c r="C740" s="2" t="n">
        <v>28</v>
      </c>
      <c r="D740" s="2" t="n">
        <v>3</v>
      </c>
      <c r="E740" s="2" t="n">
        <v>160</v>
      </c>
      <c r="F740" s="2" t="n">
        <v>90</v>
      </c>
      <c r="G740" s="2" t="s">
        <v>37</v>
      </c>
      <c r="H740" s="6" t="str">
        <f aca="false">A740&amp;"_"&amp;B740</f>
        <v>retiro_1</v>
      </c>
      <c r="I740" s="6" t="str">
        <f aca="false">H740&amp;"_"&amp;C740&amp;"_"&amp;G740</f>
        <v>retiro_1_28_Tabebuia cassinoides</v>
      </c>
      <c r="J740" s="6" t="n">
        <f aca="false">IF(COUNTIF($I$2:I740,I740)=1,1,0)</f>
        <v>0</v>
      </c>
      <c r="K740" s="6" t="n">
        <f aca="false">E740*$Q$2</f>
        <v>16</v>
      </c>
      <c r="L740" s="7" t="n">
        <f aca="false">K740/PI()</f>
        <v>5.09295817894065</v>
      </c>
      <c r="M740" s="8" t="n">
        <f aca="false">PI()*L740^2/40000</f>
        <v>0.00203718327157626</v>
      </c>
      <c r="N740" s="7" t="n">
        <f aca="false">F740*$Q$3</f>
        <v>9</v>
      </c>
      <c r="O740" s="3"/>
      <c r="P740" s="3"/>
      <c r="Q740" s="3"/>
    </row>
    <row r="741" customFormat="false" ht="15" hidden="false" customHeight="false" outlineLevel="0" collapsed="false">
      <c r="A741" s="2" t="s">
        <v>70</v>
      </c>
      <c r="B741" s="2" t="n">
        <v>1</v>
      </c>
      <c r="C741" s="2" t="n">
        <v>28</v>
      </c>
      <c r="D741" s="2" t="n">
        <v>4</v>
      </c>
      <c r="E741" s="2" t="n">
        <v>250</v>
      </c>
      <c r="F741" s="2" t="n">
        <v>90</v>
      </c>
      <c r="G741" s="2" t="s">
        <v>37</v>
      </c>
      <c r="H741" s="6" t="str">
        <f aca="false">A741&amp;"_"&amp;B741</f>
        <v>retiro_1</v>
      </c>
      <c r="I741" s="6" t="str">
        <f aca="false">H741&amp;"_"&amp;C741&amp;"_"&amp;G741</f>
        <v>retiro_1_28_Tabebuia cassinoides</v>
      </c>
      <c r="J741" s="6" t="n">
        <f aca="false">IF(COUNTIF($I$2:I741,I741)=1,1,0)</f>
        <v>0</v>
      </c>
      <c r="K741" s="6" t="n">
        <f aca="false">E741*$Q$2</f>
        <v>25</v>
      </c>
      <c r="L741" s="7" t="n">
        <f aca="false">K741/PI()</f>
        <v>7.95774715459477</v>
      </c>
      <c r="M741" s="8" t="n">
        <f aca="false">PI()*L741^2/40000</f>
        <v>0.00497359197162173</v>
      </c>
      <c r="N741" s="7" t="n">
        <f aca="false">F741*$Q$3</f>
        <v>9</v>
      </c>
      <c r="O741" s="3"/>
      <c r="P741" s="3"/>
      <c r="Q741" s="3"/>
    </row>
    <row r="742" customFormat="false" ht="15" hidden="false" customHeight="false" outlineLevel="0" collapsed="false">
      <c r="A742" s="2" t="s">
        <v>70</v>
      </c>
      <c r="B742" s="2" t="n">
        <v>1</v>
      </c>
      <c r="C742" s="2" t="n">
        <v>28</v>
      </c>
      <c r="D742" s="2" t="n">
        <v>5</v>
      </c>
      <c r="E742" s="2" t="n">
        <v>330</v>
      </c>
      <c r="F742" s="2" t="n">
        <v>90</v>
      </c>
      <c r="G742" s="2" t="s">
        <v>37</v>
      </c>
      <c r="H742" s="6" t="str">
        <f aca="false">A742&amp;"_"&amp;B742</f>
        <v>retiro_1</v>
      </c>
      <c r="I742" s="6" t="str">
        <f aca="false">H742&amp;"_"&amp;C742&amp;"_"&amp;G742</f>
        <v>retiro_1_28_Tabebuia cassinoides</v>
      </c>
      <c r="J742" s="6" t="n">
        <f aca="false">IF(COUNTIF($I$2:I742,I742)=1,1,0)</f>
        <v>0</v>
      </c>
      <c r="K742" s="6" t="n">
        <f aca="false">E742*$Q$2</f>
        <v>33</v>
      </c>
      <c r="L742" s="7" t="n">
        <f aca="false">K742/PI()</f>
        <v>10.5042262440651</v>
      </c>
      <c r="M742" s="8" t="n">
        <f aca="false">PI()*L742^2/40000</f>
        <v>0.0086659866513537</v>
      </c>
      <c r="N742" s="7" t="n">
        <f aca="false">F742*$Q$3</f>
        <v>9</v>
      </c>
      <c r="O742" s="3"/>
      <c r="P742" s="3"/>
      <c r="Q742" s="3"/>
    </row>
    <row r="743" customFormat="false" ht="15" hidden="false" customHeight="false" outlineLevel="0" collapsed="false">
      <c r="A743" s="2" t="s">
        <v>70</v>
      </c>
      <c r="B743" s="2" t="n">
        <v>1</v>
      </c>
      <c r="C743" s="2" t="n">
        <v>28</v>
      </c>
      <c r="D743" s="2" t="n">
        <v>6</v>
      </c>
      <c r="E743" s="2" t="n">
        <v>200</v>
      </c>
      <c r="F743" s="2" t="n">
        <v>90</v>
      </c>
      <c r="G743" s="2" t="s">
        <v>37</v>
      </c>
      <c r="H743" s="6" t="str">
        <f aca="false">A743&amp;"_"&amp;B743</f>
        <v>retiro_1</v>
      </c>
      <c r="I743" s="6" t="str">
        <f aca="false">H743&amp;"_"&amp;C743&amp;"_"&amp;G743</f>
        <v>retiro_1_28_Tabebuia cassinoides</v>
      </c>
      <c r="J743" s="6" t="n">
        <f aca="false">IF(COUNTIF($I$2:I743,I743)=1,1,0)</f>
        <v>0</v>
      </c>
      <c r="K743" s="6" t="n">
        <f aca="false">E743*$Q$2</f>
        <v>20</v>
      </c>
      <c r="L743" s="7" t="n">
        <f aca="false">K743/PI()</f>
        <v>6.36619772367581</v>
      </c>
      <c r="M743" s="8" t="n">
        <f aca="false">PI()*L743^2/40000</f>
        <v>0.00318309886183791</v>
      </c>
      <c r="N743" s="7" t="n">
        <f aca="false">F743*$Q$3</f>
        <v>9</v>
      </c>
      <c r="O743" s="3"/>
      <c r="P743" s="3"/>
      <c r="Q743" s="3"/>
    </row>
    <row r="744" customFormat="false" ht="15" hidden="false" customHeight="false" outlineLevel="0" collapsed="false">
      <c r="A744" s="2" t="s">
        <v>70</v>
      </c>
      <c r="B744" s="2" t="n">
        <v>1</v>
      </c>
      <c r="C744" s="2" t="n">
        <v>28</v>
      </c>
      <c r="D744" s="2" t="n">
        <v>1</v>
      </c>
      <c r="E744" s="2" t="n">
        <v>465</v>
      </c>
      <c r="F744" s="2" t="n">
        <v>100</v>
      </c>
      <c r="G744" s="2" t="s">
        <v>37</v>
      </c>
      <c r="H744" s="6" t="str">
        <f aca="false">A744&amp;"_"&amp;B744</f>
        <v>retiro_1</v>
      </c>
      <c r="I744" s="6" t="str">
        <f aca="false">H744&amp;"_"&amp;C744&amp;"_"&amp;G744</f>
        <v>retiro_1_28_Tabebuia cassinoides</v>
      </c>
      <c r="J744" s="6" t="n">
        <f aca="false">IF(COUNTIF($I$2:I744,I744)=1,1,0)</f>
        <v>0</v>
      </c>
      <c r="K744" s="6" t="n">
        <f aca="false">E744*$Q$2</f>
        <v>46.5</v>
      </c>
      <c r="L744" s="7" t="n">
        <f aca="false">K744/PI()</f>
        <v>14.8014097075463</v>
      </c>
      <c r="M744" s="8" t="n">
        <f aca="false">PI()*L744^2/40000</f>
        <v>0.0172066387850225</v>
      </c>
      <c r="N744" s="7" t="n">
        <f aca="false">F744*$Q$3</f>
        <v>10</v>
      </c>
      <c r="O744" s="3"/>
      <c r="P744" s="3"/>
      <c r="Q744" s="3"/>
    </row>
    <row r="745" customFormat="false" ht="15" hidden="false" customHeight="false" outlineLevel="0" collapsed="false">
      <c r="A745" s="2" t="s">
        <v>70</v>
      </c>
      <c r="B745" s="2" t="n">
        <v>1</v>
      </c>
      <c r="C745" s="2" t="n">
        <v>28</v>
      </c>
      <c r="D745" s="2" t="n">
        <v>2</v>
      </c>
      <c r="E745" s="2" t="n">
        <v>245</v>
      </c>
      <c r="F745" s="2" t="n">
        <v>100</v>
      </c>
      <c r="G745" s="2" t="s">
        <v>37</v>
      </c>
      <c r="H745" s="6" t="str">
        <f aca="false">A745&amp;"_"&amp;B745</f>
        <v>retiro_1</v>
      </c>
      <c r="I745" s="6" t="str">
        <f aca="false">H745&amp;"_"&amp;C745&amp;"_"&amp;G745</f>
        <v>retiro_1_28_Tabebuia cassinoides</v>
      </c>
      <c r="J745" s="6" t="n">
        <f aca="false">IF(COUNTIF($I$2:I745,I745)=1,1,0)</f>
        <v>0</v>
      </c>
      <c r="K745" s="6" t="n">
        <f aca="false">E745*$Q$2</f>
        <v>24.5</v>
      </c>
      <c r="L745" s="7" t="n">
        <f aca="false">K745/PI()</f>
        <v>7.79859221150287</v>
      </c>
      <c r="M745" s="8" t="n">
        <f aca="false">PI()*L745^2/40000</f>
        <v>0.00477663772954551</v>
      </c>
      <c r="N745" s="7" t="n">
        <f aca="false">F745*$Q$3</f>
        <v>10</v>
      </c>
      <c r="O745" s="3"/>
      <c r="P745" s="3"/>
      <c r="Q745" s="3"/>
    </row>
    <row r="746" customFormat="false" ht="15" hidden="false" customHeight="false" outlineLevel="0" collapsed="false">
      <c r="A746" s="2" t="s">
        <v>70</v>
      </c>
      <c r="B746" s="2" t="n">
        <v>1</v>
      </c>
      <c r="C746" s="2" t="n">
        <v>29</v>
      </c>
      <c r="D746" s="2" t="n">
        <v>3</v>
      </c>
      <c r="E746" s="2" t="n">
        <v>190</v>
      </c>
      <c r="F746" s="2" t="n">
        <v>100</v>
      </c>
      <c r="G746" s="2" t="s">
        <v>37</v>
      </c>
      <c r="H746" s="6" t="str">
        <f aca="false">A746&amp;"_"&amp;B746</f>
        <v>retiro_1</v>
      </c>
      <c r="I746" s="6" t="str">
        <f aca="false">H746&amp;"_"&amp;C746&amp;"_"&amp;G746</f>
        <v>retiro_1_29_Tabebuia cassinoides</v>
      </c>
      <c r="J746" s="6" t="n">
        <f aca="false">IF(COUNTIF($I$2:I746,I746)=1,1,0)</f>
        <v>1</v>
      </c>
      <c r="K746" s="6" t="n">
        <f aca="false">E746*$Q$2</f>
        <v>19</v>
      </c>
      <c r="L746" s="7" t="n">
        <f aca="false">K746/PI()</f>
        <v>6.04788783749202</v>
      </c>
      <c r="M746" s="8" t="n">
        <f aca="false">PI()*L746^2/40000</f>
        <v>0.00287274672280871</v>
      </c>
      <c r="N746" s="7" t="n">
        <f aca="false">F746*$Q$3</f>
        <v>10</v>
      </c>
      <c r="O746" s="3"/>
      <c r="P746" s="3"/>
      <c r="Q746" s="3"/>
    </row>
    <row r="747" customFormat="false" ht="15" hidden="false" customHeight="false" outlineLevel="0" collapsed="false">
      <c r="A747" s="2" t="s">
        <v>70</v>
      </c>
      <c r="B747" s="2" t="n">
        <v>1</v>
      </c>
      <c r="C747" s="2" t="n">
        <v>30</v>
      </c>
      <c r="D747" s="2" t="n">
        <v>1</v>
      </c>
      <c r="E747" s="2" t="n">
        <v>240</v>
      </c>
      <c r="F747" s="2" t="n">
        <v>70</v>
      </c>
      <c r="G747" s="2" t="s">
        <v>37</v>
      </c>
      <c r="H747" s="6" t="str">
        <f aca="false">A747&amp;"_"&amp;B747</f>
        <v>retiro_1</v>
      </c>
      <c r="I747" s="6" t="str">
        <f aca="false">H747&amp;"_"&amp;C747&amp;"_"&amp;G747</f>
        <v>retiro_1_30_Tabebuia cassinoides</v>
      </c>
      <c r="J747" s="6" t="n">
        <f aca="false">IF(COUNTIF($I$2:I747,I747)=1,1,0)</f>
        <v>1</v>
      </c>
      <c r="K747" s="6" t="n">
        <f aca="false">E747*$Q$2</f>
        <v>24</v>
      </c>
      <c r="L747" s="7" t="n">
        <f aca="false">K747/PI()</f>
        <v>7.63943726841098</v>
      </c>
      <c r="M747" s="8" t="n">
        <f aca="false">PI()*L747^2/40000</f>
        <v>0.00458366236104659</v>
      </c>
      <c r="N747" s="7" t="n">
        <f aca="false">F747*$Q$3</f>
        <v>7</v>
      </c>
      <c r="O747" s="3"/>
      <c r="P747" s="3"/>
      <c r="Q747" s="3"/>
    </row>
    <row r="748" customFormat="false" ht="15" hidden="false" customHeight="false" outlineLevel="0" collapsed="false">
      <c r="A748" s="2" t="s">
        <v>70</v>
      </c>
      <c r="B748" s="2" t="n">
        <v>1</v>
      </c>
      <c r="C748" s="2" t="n">
        <v>30</v>
      </c>
      <c r="D748" s="2" t="n">
        <v>2</v>
      </c>
      <c r="E748" s="2" t="n">
        <v>160</v>
      </c>
      <c r="F748" s="2" t="n">
        <v>70</v>
      </c>
      <c r="G748" s="2" t="s">
        <v>37</v>
      </c>
      <c r="H748" s="6" t="str">
        <f aca="false">A748&amp;"_"&amp;B748</f>
        <v>retiro_1</v>
      </c>
      <c r="I748" s="6" t="str">
        <f aca="false">H748&amp;"_"&amp;C748&amp;"_"&amp;G748</f>
        <v>retiro_1_30_Tabebuia cassinoides</v>
      </c>
      <c r="J748" s="6" t="n">
        <f aca="false">IF(COUNTIF($I$2:I748,I748)=1,1,0)</f>
        <v>0</v>
      </c>
      <c r="K748" s="6" t="n">
        <f aca="false">E748*$Q$2</f>
        <v>16</v>
      </c>
      <c r="L748" s="7" t="n">
        <f aca="false">K748/PI()</f>
        <v>5.09295817894065</v>
      </c>
      <c r="M748" s="8" t="n">
        <f aca="false">PI()*L748^2/40000</f>
        <v>0.00203718327157626</v>
      </c>
      <c r="N748" s="7" t="n">
        <f aca="false">F748*$Q$3</f>
        <v>7</v>
      </c>
      <c r="O748" s="3"/>
      <c r="P748" s="3"/>
      <c r="Q748" s="3"/>
    </row>
    <row r="749" customFormat="false" ht="15" hidden="false" customHeight="false" outlineLevel="0" collapsed="false">
      <c r="A749" s="2" t="s">
        <v>70</v>
      </c>
      <c r="B749" s="2" t="n">
        <v>1</v>
      </c>
      <c r="C749" s="2" t="n">
        <v>30</v>
      </c>
      <c r="D749" s="2" t="n">
        <v>3</v>
      </c>
      <c r="E749" s="2" t="n">
        <v>190</v>
      </c>
      <c r="F749" s="2" t="n">
        <v>70</v>
      </c>
      <c r="G749" s="2" t="s">
        <v>37</v>
      </c>
      <c r="H749" s="6" t="str">
        <f aca="false">A749&amp;"_"&amp;B749</f>
        <v>retiro_1</v>
      </c>
      <c r="I749" s="6" t="str">
        <f aca="false">H749&amp;"_"&amp;C749&amp;"_"&amp;G749</f>
        <v>retiro_1_30_Tabebuia cassinoides</v>
      </c>
      <c r="J749" s="6" t="n">
        <f aca="false">IF(COUNTIF($I$2:I749,I749)=1,1,0)</f>
        <v>0</v>
      </c>
      <c r="K749" s="6" t="n">
        <f aca="false">E749*$Q$2</f>
        <v>19</v>
      </c>
      <c r="L749" s="7" t="n">
        <f aca="false">K749/PI()</f>
        <v>6.04788783749202</v>
      </c>
      <c r="M749" s="8" t="n">
        <f aca="false">PI()*L749^2/40000</f>
        <v>0.00287274672280871</v>
      </c>
      <c r="N749" s="7" t="n">
        <f aca="false">F749*$Q$3</f>
        <v>7</v>
      </c>
      <c r="O749" s="3"/>
      <c r="P749" s="3"/>
      <c r="Q749" s="3"/>
    </row>
    <row r="750" customFormat="false" ht="15" hidden="false" customHeight="false" outlineLevel="0" collapsed="false">
      <c r="A750" s="2" t="s">
        <v>70</v>
      </c>
      <c r="B750" s="2" t="n">
        <v>1</v>
      </c>
      <c r="C750" s="2" t="n">
        <v>30</v>
      </c>
      <c r="D750" s="2" t="n">
        <v>4</v>
      </c>
      <c r="E750" s="2" t="n">
        <v>115</v>
      </c>
      <c r="F750" s="2" t="n">
        <v>70</v>
      </c>
      <c r="G750" s="2" t="s">
        <v>37</v>
      </c>
      <c r="H750" s="6" t="str">
        <f aca="false">A750&amp;"_"&amp;B750</f>
        <v>retiro_1</v>
      </c>
      <c r="I750" s="6" t="str">
        <f aca="false">H750&amp;"_"&amp;C750&amp;"_"&amp;G750</f>
        <v>retiro_1_30_Tabebuia cassinoides</v>
      </c>
      <c r="J750" s="6" t="n">
        <f aca="false">IF(COUNTIF($I$2:I750,I750)=1,1,0)</f>
        <v>0</v>
      </c>
      <c r="K750" s="6" t="n">
        <f aca="false">E750*$Q$2</f>
        <v>11.5</v>
      </c>
      <c r="L750" s="7" t="n">
        <f aca="false">K750/PI()</f>
        <v>3.66056369111359</v>
      </c>
      <c r="M750" s="8" t="n">
        <f aca="false">PI()*L750^2/40000</f>
        <v>0.00105241206119516</v>
      </c>
      <c r="N750" s="7" t="n">
        <f aca="false">F750*$Q$3</f>
        <v>7</v>
      </c>
      <c r="O750" s="3"/>
      <c r="P750" s="3"/>
      <c r="Q750" s="3"/>
    </row>
    <row r="751" customFormat="false" ht="15" hidden="false" customHeight="false" outlineLevel="0" collapsed="false">
      <c r="A751" s="2" t="s">
        <v>70</v>
      </c>
      <c r="B751" s="2" t="n">
        <v>1</v>
      </c>
      <c r="C751" s="2" t="n">
        <v>30</v>
      </c>
      <c r="D751" s="2" t="n">
        <v>5</v>
      </c>
      <c r="E751" s="2" t="n">
        <v>90</v>
      </c>
      <c r="F751" s="2" t="n">
        <v>70</v>
      </c>
      <c r="G751" s="2" t="s">
        <v>37</v>
      </c>
      <c r="H751" s="6" t="str">
        <f aca="false">A751&amp;"_"&amp;B751</f>
        <v>retiro_1</v>
      </c>
      <c r="I751" s="6" t="str">
        <f aca="false">H751&amp;"_"&amp;C751&amp;"_"&amp;G751</f>
        <v>retiro_1_30_Tabebuia cassinoides</v>
      </c>
      <c r="J751" s="6" t="n">
        <f aca="false">IF(COUNTIF($I$2:I751,I751)=1,1,0)</f>
        <v>0</v>
      </c>
      <c r="K751" s="6" t="n">
        <f aca="false">E751*$Q$2</f>
        <v>9</v>
      </c>
      <c r="L751" s="7" t="n">
        <f aca="false">K751/PI()</f>
        <v>2.86478897565412</v>
      </c>
      <c r="M751" s="8" t="n">
        <f aca="false">PI()*L751^2/40000</f>
        <v>0.000644577519522176</v>
      </c>
      <c r="N751" s="7" t="n">
        <f aca="false">F751*$Q$3</f>
        <v>7</v>
      </c>
      <c r="O751" s="3"/>
      <c r="P751" s="3"/>
      <c r="Q751" s="3"/>
    </row>
    <row r="752" customFormat="false" ht="15" hidden="false" customHeight="false" outlineLevel="0" collapsed="false">
      <c r="A752" s="2" t="s">
        <v>70</v>
      </c>
      <c r="B752" s="2" t="n">
        <v>1</v>
      </c>
      <c r="C752" s="2" t="n">
        <v>30</v>
      </c>
      <c r="D752" s="2" t="n">
        <v>6</v>
      </c>
      <c r="E752" s="2" t="n">
        <v>215</v>
      </c>
      <c r="F752" s="2" t="n">
        <v>70</v>
      </c>
      <c r="G752" s="2" t="s">
        <v>37</v>
      </c>
      <c r="H752" s="6" t="str">
        <f aca="false">A752&amp;"_"&amp;B752</f>
        <v>retiro_1</v>
      </c>
      <c r="I752" s="6" t="str">
        <f aca="false">H752&amp;"_"&amp;C752&amp;"_"&amp;G752</f>
        <v>retiro_1_30_Tabebuia cassinoides</v>
      </c>
      <c r="J752" s="6" t="n">
        <f aca="false">IF(COUNTIF($I$2:I752,I752)=1,1,0)</f>
        <v>0</v>
      </c>
      <c r="K752" s="6" t="n">
        <f aca="false">E752*$Q$2</f>
        <v>21.5</v>
      </c>
      <c r="L752" s="7" t="n">
        <f aca="false">K752/PI()</f>
        <v>6.8436625529515</v>
      </c>
      <c r="M752" s="8" t="n">
        <f aca="false">PI()*L752^2/40000</f>
        <v>0.00367846862221143</v>
      </c>
      <c r="N752" s="7" t="n">
        <f aca="false">F752*$Q$3</f>
        <v>7</v>
      </c>
      <c r="O752" s="3"/>
      <c r="P752" s="3"/>
      <c r="Q752" s="3"/>
    </row>
    <row r="753" customFormat="false" ht="15" hidden="false" customHeight="false" outlineLevel="0" collapsed="false">
      <c r="A753" s="2" t="s">
        <v>70</v>
      </c>
      <c r="B753" s="2" t="n">
        <v>1</v>
      </c>
      <c r="C753" s="2" t="n">
        <v>31</v>
      </c>
      <c r="D753" s="2" t="n">
        <v>1</v>
      </c>
      <c r="E753" s="2" t="n">
        <v>305</v>
      </c>
      <c r="F753" s="2" t="n">
        <v>80</v>
      </c>
      <c r="G753" s="2" t="s">
        <v>37</v>
      </c>
      <c r="H753" s="6" t="str">
        <f aca="false">A753&amp;"_"&amp;B753</f>
        <v>retiro_1</v>
      </c>
      <c r="I753" s="6" t="str">
        <f aca="false">H753&amp;"_"&amp;C753&amp;"_"&amp;G753</f>
        <v>retiro_1_31_Tabebuia cassinoides</v>
      </c>
      <c r="J753" s="6" t="n">
        <f aca="false">IF(COUNTIF($I$2:I753,I753)=1,1,0)</f>
        <v>1</v>
      </c>
      <c r="K753" s="6" t="n">
        <f aca="false">E753*$Q$2</f>
        <v>30.5</v>
      </c>
      <c r="L753" s="7" t="n">
        <f aca="false">K753/PI()</f>
        <v>9.70845152860562</v>
      </c>
      <c r="M753" s="8" t="n">
        <f aca="false">PI()*L753^2/40000</f>
        <v>0.00740269429056178</v>
      </c>
      <c r="N753" s="7" t="n">
        <f aca="false">F753*$Q$3</f>
        <v>8</v>
      </c>
      <c r="O753" s="3"/>
      <c r="P753" s="3"/>
      <c r="Q753" s="3"/>
    </row>
    <row r="754" customFormat="false" ht="15" hidden="false" customHeight="false" outlineLevel="0" collapsed="false">
      <c r="A754" s="2" t="s">
        <v>70</v>
      </c>
      <c r="B754" s="2" t="n">
        <v>1</v>
      </c>
      <c r="C754" s="2" t="n">
        <v>32</v>
      </c>
      <c r="D754" s="2" t="n">
        <v>1</v>
      </c>
      <c r="E754" s="2" t="n">
        <v>300</v>
      </c>
      <c r="F754" s="2" t="n">
        <v>90</v>
      </c>
      <c r="G754" s="2" t="s">
        <v>37</v>
      </c>
      <c r="H754" s="6" t="str">
        <f aca="false">A754&amp;"_"&amp;B754</f>
        <v>retiro_1</v>
      </c>
      <c r="I754" s="6" t="str">
        <f aca="false">H754&amp;"_"&amp;C754&amp;"_"&amp;G754</f>
        <v>retiro_1_32_Tabebuia cassinoides</v>
      </c>
      <c r="J754" s="6" t="n">
        <f aca="false">IF(COUNTIF($I$2:I754,I754)=1,1,0)</f>
        <v>1</v>
      </c>
      <c r="K754" s="6" t="n">
        <f aca="false">E754*$Q$2</f>
        <v>30</v>
      </c>
      <c r="L754" s="7" t="n">
        <f aca="false">K754/PI()</f>
        <v>9.54929658551372</v>
      </c>
      <c r="M754" s="8" t="n">
        <f aca="false">PI()*L754^2/40000</f>
        <v>0.00716197243913529</v>
      </c>
      <c r="N754" s="7" t="n">
        <f aca="false">F754*$Q$3</f>
        <v>9</v>
      </c>
      <c r="O754" s="3"/>
      <c r="P754" s="3"/>
      <c r="Q754" s="3"/>
    </row>
    <row r="755" customFormat="false" ht="15" hidden="false" customHeight="false" outlineLevel="0" collapsed="false">
      <c r="A755" s="2" t="s">
        <v>70</v>
      </c>
      <c r="B755" s="2" t="n">
        <v>1</v>
      </c>
      <c r="C755" s="2" t="n">
        <v>32</v>
      </c>
      <c r="D755" s="2" t="n">
        <v>2</v>
      </c>
      <c r="E755" s="2" t="n">
        <v>285</v>
      </c>
      <c r="F755" s="2" t="n">
        <v>90</v>
      </c>
      <c r="G755" s="2" t="s">
        <v>37</v>
      </c>
      <c r="H755" s="6" t="str">
        <f aca="false">A755&amp;"_"&amp;B755</f>
        <v>retiro_1</v>
      </c>
      <c r="I755" s="6" t="str">
        <f aca="false">H755&amp;"_"&amp;C755&amp;"_"&amp;G755</f>
        <v>retiro_1_32_Tabebuia cassinoides</v>
      </c>
      <c r="J755" s="6" t="n">
        <f aca="false">IF(COUNTIF($I$2:I755,I755)=1,1,0)</f>
        <v>0</v>
      </c>
      <c r="K755" s="6" t="n">
        <f aca="false">E755*$Q$2</f>
        <v>28.5</v>
      </c>
      <c r="L755" s="7" t="n">
        <f aca="false">K755/PI()</f>
        <v>9.07183175623804</v>
      </c>
      <c r="M755" s="8" t="n">
        <f aca="false">PI()*L755^2/40000</f>
        <v>0.0064636801263196</v>
      </c>
      <c r="N755" s="7" t="n">
        <f aca="false">F755*$Q$3</f>
        <v>9</v>
      </c>
      <c r="O755" s="3"/>
      <c r="P755" s="3"/>
      <c r="Q755" s="3"/>
    </row>
    <row r="756" customFormat="false" ht="15" hidden="false" customHeight="false" outlineLevel="0" collapsed="false">
      <c r="A756" s="2" t="s">
        <v>70</v>
      </c>
      <c r="B756" s="2" t="n">
        <v>1</v>
      </c>
      <c r="C756" s="2" t="n">
        <v>33</v>
      </c>
      <c r="D756" s="2" t="n">
        <v>1</v>
      </c>
      <c r="E756" s="2" t="n">
        <v>150</v>
      </c>
      <c r="F756" s="2" t="n">
        <v>60</v>
      </c>
      <c r="G756" s="2" t="s">
        <v>37</v>
      </c>
      <c r="H756" s="6" t="str">
        <f aca="false">A756&amp;"_"&amp;B756</f>
        <v>retiro_1</v>
      </c>
      <c r="I756" s="6" t="str">
        <f aca="false">H756&amp;"_"&amp;C756&amp;"_"&amp;G756</f>
        <v>retiro_1_33_Tabebuia cassinoides</v>
      </c>
      <c r="J756" s="6" t="n">
        <f aca="false">IF(COUNTIF($I$2:I756,I756)=1,1,0)</f>
        <v>1</v>
      </c>
      <c r="K756" s="6" t="n">
        <f aca="false">E756*$Q$2</f>
        <v>15</v>
      </c>
      <c r="L756" s="7" t="n">
        <f aca="false">K756/PI()</f>
        <v>4.77464829275686</v>
      </c>
      <c r="M756" s="8" t="n">
        <f aca="false">PI()*L756^2/40000</f>
        <v>0.00179049310978382</v>
      </c>
      <c r="N756" s="7" t="n">
        <f aca="false">F756*$Q$3</f>
        <v>6</v>
      </c>
      <c r="O756" s="3"/>
      <c r="P756" s="3"/>
      <c r="Q756" s="3"/>
    </row>
    <row r="757" customFormat="false" ht="15" hidden="false" customHeight="false" outlineLevel="0" collapsed="false">
      <c r="A757" s="2" t="s">
        <v>70</v>
      </c>
      <c r="B757" s="2" t="n">
        <v>1</v>
      </c>
      <c r="C757" s="2" t="n">
        <v>34</v>
      </c>
      <c r="D757" s="2" t="n">
        <v>1</v>
      </c>
      <c r="E757" s="2" t="n">
        <v>70</v>
      </c>
      <c r="F757" s="2" t="n">
        <v>70</v>
      </c>
      <c r="G757" s="2" t="s">
        <v>37</v>
      </c>
      <c r="H757" s="6" t="str">
        <f aca="false">A757&amp;"_"&amp;B757</f>
        <v>retiro_1</v>
      </c>
      <c r="I757" s="6" t="str">
        <f aca="false">H757&amp;"_"&amp;C757&amp;"_"&amp;G757</f>
        <v>retiro_1_34_Tabebuia cassinoides</v>
      </c>
      <c r="J757" s="6" t="n">
        <f aca="false">IF(COUNTIF($I$2:I757,I757)=1,1,0)</f>
        <v>1</v>
      </c>
      <c r="K757" s="6" t="n">
        <f aca="false">E757*$Q$2</f>
        <v>7</v>
      </c>
      <c r="L757" s="7" t="n">
        <f aca="false">K757/PI()</f>
        <v>2.22816920328654</v>
      </c>
      <c r="M757" s="8" t="n">
        <f aca="false">PI()*L757^2/40000</f>
        <v>0.000389929610575144</v>
      </c>
      <c r="N757" s="7" t="n">
        <f aca="false">F757*$Q$3</f>
        <v>7</v>
      </c>
      <c r="O757" s="3"/>
      <c r="P757" s="3"/>
      <c r="Q757" s="3"/>
    </row>
    <row r="758" customFormat="false" ht="15" hidden="false" customHeight="false" outlineLevel="0" collapsed="false">
      <c r="A758" s="2" t="s">
        <v>70</v>
      </c>
      <c r="B758" s="2" t="n">
        <v>1</v>
      </c>
      <c r="C758" s="2" t="n">
        <v>34</v>
      </c>
      <c r="D758" s="2" t="n">
        <v>2</v>
      </c>
      <c r="E758" s="2" t="n">
        <v>300</v>
      </c>
      <c r="F758" s="2" t="n">
        <v>70</v>
      </c>
      <c r="G758" s="2" t="s">
        <v>37</v>
      </c>
      <c r="H758" s="6" t="str">
        <f aca="false">A758&amp;"_"&amp;B758</f>
        <v>retiro_1</v>
      </c>
      <c r="I758" s="6" t="str">
        <f aca="false">H758&amp;"_"&amp;C758&amp;"_"&amp;G758</f>
        <v>retiro_1_34_Tabebuia cassinoides</v>
      </c>
      <c r="J758" s="6" t="n">
        <f aca="false">IF(COUNTIF($I$2:I758,I758)=1,1,0)</f>
        <v>0</v>
      </c>
      <c r="K758" s="6" t="n">
        <f aca="false">E758*$Q$2</f>
        <v>30</v>
      </c>
      <c r="L758" s="7" t="n">
        <f aca="false">K758/PI()</f>
        <v>9.54929658551372</v>
      </c>
      <c r="M758" s="8" t="n">
        <f aca="false">PI()*L758^2/40000</f>
        <v>0.00716197243913529</v>
      </c>
      <c r="N758" s="7" t="n">
        <f aca="false">F758*$Q$3</f>
        <v>7</v>
      </c>
      <c r="O758" s="3"/>
      <c r="P758" s="3"/>
      <c r="Q758" s="3"/>
    </row>
    <row r="759" customFormat="false" ht="15" hidden="false" customHeight="false" outlineLevel="0" collapsed="false">
      <c r="A759" s="2" t="s">
        <v>70</v>
      </c>
      <c r="B759" s="2" t="n">
        <v>1</v>
      </c>
      <c r="C759" s="2" t="n">
        <v>34</v>
      </c>
      <c r="D759" s="2" t="n">
        <v>3</v>
      </c>
      <c r="E759" s="2" t="n">
        <v>110</v>
      </c>
      <c r="F759" s="2" t="n">
        <v>70</v>
      </c>
      <c r="G759" s="2" t="s">
        <v>37</v>
      </c>
      <c r="H759" s="6" t="str">
        <f aca="false">A759&amp;"_"&amp;B759</f>
        <v>retiro_1</v>
      </c>
      <c r="I759" s="6" t="str">
        <f aca="false">H759&amp;"_"&amp;C759&amp;"_"&amp;G759</f>
        <v>retiro_1_34_Tabebuia cassinoides</v>
      </c>
      <c r="J759" s="6" t="n">
        <f aca="false">IF(COUNTIF($I$2:I759,I759)=1,1,0)</f>
        <v>0</v>
      </c>
      <c r="K759" s="6" t="n">
        <f aca="false">E759*$Q$2</f>
        <v>11</v>
      </c>
      <c r="L759" s="7" t="n">
        <f aca="false">K759/PI()</f>
        <v>3.5014087480217</v>
      </c>
      <c r="M759" s="8" t="n">
        <f aca="false">PI()*L759^2/40000</f>
        <v>0.000962887405705967</v>
      </c>
      <c r="N759" s="7" t="n">
        <f aca="false">F759*$Q$3</f>
        <v>7</v>
      </c>
      <c r="O759" s="3"/>
      <c r="P759" s="3"/>
      <c r="Q759" s="3"/>
    </row>
    <row r="760" customFormat="false" ht="15" hidden="false" customHeight="false" outlineLevel="0" collapsed="false">
      <c r="A760" s="2" t="s">
        <v>70</v>
      </c>
      <c r="B760" s="2" t="n">
        <v>1</v>
      </c>
      <c r="C760" s="2" t="n">
        <v>35</v>
      </c>
      <c r="D760" s="2" t="n">
        <v>1</v>
      </c>
      <c r="E760" s="2" t="n">
        <v>445</v>
      </c>
      <c r="F760" s="2" t="n">
        <v>100</v>
      </c>
      <c r="G760" s="2" t="s">
        <v>37</v>
      </c>
      <c r="H760" s="6" t="str">
        <f aca="false">A760&amp;"_"&amp;B760</f>
        <v>retiro_1</v>
      </c>
      <c r="I760" s="6" t="str">
        <f aca="false">H760&amp;"_"&amp;C760&amp;"_"&amp;G760</f>
        <v>retiro_1_35_Tabebuia cassinoides</v>
      </c>
      <c r="J760" s="6" t="n">
        <f aca="false">IF(COUNTIF($I$2:I760,I760)=1,1,0)</f>
        <v>1</v>
      </c>
      <c r="K760" s="6" t="n">
        <f aca="false">E760*$Q$2</f>
        <v>44.5</v>
      </c>
      <c r="L760" s="7" t="n">
        <f aca="false">K760/PI()</f>
        <v>14.1647899351787</v>
      </c>
      <c r="M760" s="8" t="n">
        <f aca="false">PI()*L760^2/40000</f>
        <v>0.0157583288028863</v>
      </c>
      <c r="N760" s="7" t="n">
        <f aca="false">F760*$Q$3</f>
        <v>10</v>
      </c>
      <c r="O760" s="3"/>
      <c r="P760" s="3"/>
      <c r="Q760" s="3"/>
    </row>
    <row r="761" customFormat="false" ht="15" hidden="false" customHeight="false" outlineLevel="0" collapsed="false">
      <c r="A761" s="2" t="s">
        <v>70</v>
      </c>
      <c r="B761" s="2" t="n">
        <v>1</v>
      </c>
      <c r="C761" s="2" t="n">
        <v>36</v>
      </c>
      <c r="D761" s="2" t="n">
        <v>1</v>
      </c>
      <c r="E761" s="2" t="n">
        <v>475</v>
      </c>
      <c r="F761" s="2" t="n">
        <v>110</v>
      </c>
      <c r="G761" s="2" t="s">
        <v>37</v>
      </c>
      <c r="H761" s="6" t="str">
        <f aca="false">A761&amp;"_"&amp;B761</f>
        <v>retiro_1</v>
      </c>
      <c r="I761" s="6" t="str">
        <f aca="false">H761&amp;"_"&amp;C761&amp;"_"&amp;G761</f>
        <v>retiro_1_36_Tabebuia cassinoides</v>
      </c>
      <c r="J761" s="6" t="n">
        <f aca="false">IF(COUNTIF($I$2:I761,I761)=1,1,0)</f>
        <v>1</v>
      </c>
      <c r="K761" s="6" t="n">
        <f aca="false">E761*$Q$2</f>
        <v>47.5</v>
      </c>
      <c r="L761" s="7" t="n">
        <f aca="false">K761/PI()</f>
        <v>15.1197195937301</v>
      </c>
      <c r="M761" s="8" t="n">
        <f aca="false">PI()*L761^2/40000</f>
        <v>0.0179546670175544</v>
      </c>
      <c r="N761" s="7" t="n">
        <f aca="false">F761*$Q$3</f>
        <v>11</v>
      </c>
      <c r="O761" s="3"/>
      <c r="P761" s="3"/>
      <c r="Q761" s="3"/>
    </row>
    <row r="762" customFormat="false" ht="15" hidden="false" customHeight="false" outlineLevel="0" collapsed="false">
      <c r="A762" s="2" t="s">
        <v>70</v>
      </c>
      <c r="B762" s="2" t="n">
        <v>1</v>
      </c>
      <c r="C762" s="2" t="n">
        <v>37</v>
      </c>
      <c r="D762" s="2" t="n">
        <v>1</v>
      </c>
      <c r="E762" s="2" t="n">
        <v>355</v>
      </c>
      <c r="F762" s="2" t="n">
        <v>100</v>
      </c>
      <c r="G762" s="2" t="s">
        <v>37</v>
      </c>
      <c r="H762" s="6" t="str">
        <f aca="false">A762&amp;"_"&amp;B762</f>
        <v>retiro_1</v>
      </c>
      <c r="I762" s="6" t="str">
        <f aca="false">H762&amp;"_"&amp;C762&amp;"_"&amp;G762</f>
        <v>retiro_1_37_Tabebuia cassinoides</v>
      </c>
      <c r="J762" s="6" t="n">
        <f aca="false">IF(COUNTIF($I$2:I762,I762)=1,1,0)</f>
        <v>1</v>
      </c>
      <c r="K762" s="6" t="n">
        <f aca="false">E762*$Q$2</f>
        <v>35.5</v>
      </c>
      <c r="L762" s="7" t="n">
        <f aca="false">K762/PI()</f>
        <v>11.3000009595246</v>
      </c>
      <c r="M762" s="8" t="n">
        <f aca="false">PI()*L762^2/40000</f>
        <v>0.0100287508515781</v>
      </c>
      <c r="N762" s="7" t="n">
        <f aca="false">F762*$Q$3</f>
        <v>10</v>
      </c>
      <c r="O762" s="3"/>
      <c r="P762" s="3"/>
      <c r="Q762" s="3"/>
    </row>
    <row r="763" customFormat="false" ht="15" hidden="false" customHeight="false" outlineLevel="0" collapsed="false">
      <c r="A763" s="2" t="s">
        <v>70</v>
      </c>
      <c r="B763" s="2" t="n">
        <v>1</v>
      </c>
      <c r="C763" s="2" t="n">
        <v>37</v>
      </c>
      <c r="D763" s="2" t="n">
        <v>2</v>
      </c>
      <c r="E763" s="2" t="n">
        <v>295</v>
      </c>
      <c r="F763" s="2" t="n">
        <v>100</v>
      </c>
      <c r="G763" s="2" t="s">
        <v>37</v>
      </c>
      <c r="H763" s="6" t="str">
        <f aca="false">A763&amp;"_"&amp;B763</f>
        <v>retiro_1</v>
      </c>
      <c r="I763" s="6" t="str">
        <f aca="false">H763&amp;"_"&amp;C763&amp;"_"&amp;G763</f>
        <v>retiro_1_37_Tabebuia cassinoides</v>
      </c>
      <c r="J763" s="6" t="n">
        <f aca="false">IF(COUNTIF($I$2:I763,I763)=1,1,0)</f>
        <v>0</v>
      </c>
      <c r="K763" s="6" t="n">
        <f aca="false">E763*$Q$2</f>
        <v>29.5</v>
      </c>
      <c r="L763" s="7" t="n">
        <f aca="false">K763/PI()</f>
        <v>9.39014164242183</v>
      </c>
      <c r="M763" s="8" t="n">
        <f aca="false">PI()*L763^2/40000</f>
        <v>0.0069252294612861</v>
      </c>
      <c r="N763" s="7" t="n">
        <f aca="false">F763*$Q$3</f>
        <v>10</v>
      </c>
      <c r="O763" s="3"/>
      <c r="P763" s="3"/>
      <c r="Q763" s="3"/>
    </row>
    <row r="764" customFormat="false" ht="15" hidden="false" customHeight="false" outlineLevel="0" collapsed="false">
      <c r="A764" s="2" t="s">
        <v>70</v>
      </c>
      <c r="B764" s="2" t="n">
        <v>1</v>
      </c>
      <c r="C764" s="2" t="n">
        <v>38</v>
      </c>
      <c r="D764" s="2" t="n">
        <v>1</v>
      </c>
      <c r="E764" s="2" t="n">
        <v>230</v>
      </c>
      <c r="F764" s="2" t="n">
        <v>80</v>
      </c>
      <c r="G764" s="2" t="s">
        <v>37</v>
      </c>
      <c r="H764" s="6" t="str">
        <f aca="false">A764&amp;"_"&amp;B764</f>
        <v>retiro_1</v>
      </c>
      <c r="I764" s="6" t="str">
        <f aca="false">H764&amp;"_"&amp;C764&amp;"_"&amp;G764</f>
        <v>retiro_1_38_Tabebuia cassinoides</v>
      </c>
      <c r="J764" s="6" t="n">
        <f aca="false">IF(COUNTIF($I$2:I764,I764)=1,1,0)</f>
        <v>1</v>
      </c>
      <c r="K764" s="6" t="n">
        <f aca="false">E764*$Q$2</f>
        <v>23</v>
      </c>
      <c r="L764" s="7" t="n">
        <f aca="false">K764/PI()</f>
        <v>7.32112738222719</v>
      </c>
      <c r="M764" s="8" t="n">
        <f aca="false">PI()*L764^2/40000</f>
        <v>0.00420964824478063</v>
      </c>
      <c r="N764" s="7" t="n">
        <f aca="false">F764*$Q$3</f>
        <v>8</v>
      </c>
      <c r="O764" s="3"/>
      <c r="P764" s="3"/>
      <c r="Q764" s="3"/>
    </row>
    <row r="765" customFormat="false" ht="15" hidden="false" customHeight="false" outlineLevel="0" collapsed="false">
      <c r="A765" s="2" t="s">
        <v>70</v>
      </c>
      <c r="B765" s="2" t="n">
        <v>1</v>
      </c>
      <c r="C765" s="2" t="n">
        <v>38</v>
      </c>
      <c r="D765" s="2" t="n">
        <v>2</v>
      </c>
      <c r="E765" s="2" t="n">
        <v>140</v>
      </c>
      <c r="F765" s="2" t="n">
        <v>80</v>
      </c>
      <c r="G765" s="2" t="s">
        <v>37</v>
      </c>
      <c r="H765" s="6" t="str">
        <f aca="false">A765&amp;"_"&amp;B765</f>
        <v>retiro_1</v>
      </c>
      <c r="I765" s="6" t="str">
        <f aca="false">H765&amp;"_"&amp;C765&amp;"_"&amp;G765</f>
        <v>retiro_1_38_Tabebuia cassinoides</v>
      </c>
      <c r="J765" s="6" t="n">
        <f aca="false">IF(COUNTIF($I$2:I765,I765)=1,1,0)</f>
        <v>0</v>
      </c>
      <c r="K765" s="6" t="n">
        <f aca="false">E765*$Q$2</f>
        <v>14</v>
      </c>
      <c r="L765" s="7" t="n">
        <f aca="false">K765/PI()</f>
        <v>4.45633840657307</v>
      </c>
      <c r="M765" s="8" t="n">
        <f aca="false">PI()*L765^2/40000</f>
        <v>0.00155971844230057</v>
      </c>
      <c r="N765" s="7" t="n">
        <f aca="false">F765*$Q$3</f>
        <v>8</v>
      </c>
      <c r="O765" s="3"/>
      <c r="P765" s="3"/>
      <c r="Q765" s="3"/>
    </row>
    <row r="766" customFormat="false" ht="15" hidden="false" customHeight="false" outlineLevel="0" collapsed="false">
      <c r="A766" s="2" t="s">
        <v>70</v>
      </c>
      <c r="B766" s="2" t="n">
        <v>1</v>
      </c>
      <c r="C766" s="2" t="n">
        <v>39</v>
      </c>
      <c r="D766" s="2" t="n">
        <v>1</v>
      </c>
      <c r="E766" s="2" t="n">
        <v>510</v>
      </c>
      <c r="F766" s="2" t="n">
        <v>90</v>
      </c>
      <c r="G766" s="2" t="s">
        <v>37</v>
      </c>
      <c r="H766" s="6" t="str">
        <f aca="false">A766&amp;"_"&amp;B766</f>
        <v>retiro_1</v>
      </c>
      <c r="I766" s="6" t="str">
        <f aca="false">H766&amp;"_"&amp;C766&amp;"_"&amp;G766</f>
        <v>retiro_1_39_Tabebuia cassinoides</v>
      </c>
      <c r="J766" s="6" t="n">
        <f aca="false">IF(COUNTIF($I$2:I766,I766)=1,1,0)</f>
        <v>1</v>
      </c>
      <c r="K766" s="6" t="n">
        <f aca="false">E766*$Q$2</f>
        <v>51</v>
      </c>
      <c r="L766" s="7" t="n">
        <f aca="false">K766/PI()</f>
        <v>16.2338041953733</v>
      </c>
      <c r="M766" s="8" t="n">
        <f aca="false">PI()*L766^2/40000</f>
        <v>0.020698100349101</v>
      </c>
      <c r="N766" s="7" t="n">
        <f aca="false">F766*$Q$3</f>
        <v>9</v>
      </c>
      <c r="O766" s="3"/>
      <c r="P766" s="3"/>
      <c r="Q766" s="3"/>
    </row>
    <row r="767" customFormat="false" ht="15" hidden="false" customHeight="false" outlineLevel="0" collapsed="false">
      <c r="A767" s="2" t="s">
        <v>70</v>
      </c>
      <c r="B767" s="2" t="n">
        <v>1</v>
      </c>
      <c r="C767" s="2" t="n">
        <v>40</v>
      </c>
      <c r="D767" s="2" t="n">
        <v>1</v>
      </c>
      <c r="E767" s="2" t="n">
        <v>200</v>
      </c>
      <c r="F767" s="2" t="n">
        <v>80</v>
      </c>
      <c r="G767" s="2" t="s">
        <v>37</v>
      </c>
      <c r="H767" s="6" t="str">
        <f aca="false">A767&amp;"_"&amp;B767</f>
        <v>retiro_1</v>
      </c>
      <c r="I767" s="6" t="str">
        <f aca="false">H767&amp;"_"&amp;C767&amp;"_"&amp;G767</f>
        <v>retiro_1_40_Tabebuia cassinoides</v>
      </c>
      <c r="J767" s="6" t="n">
        <f aca="false">IF(COUNTIF($I$2:I767,I767)=1,1,0)</f>
        <v>1</v>
      </c>
      <c r="K767" s="6" t="n">
        <f aca="false">E767*$Q$2</f>
        <v>20</v>
      </c>
      <c r="L767" s="7" t="n">
        <f aca="false">K767/PI()</f>
        <v>6.36619772367581</v>
      </c>
      <c r="M767" s="8" t="n">
        <f aca="false">PI()*L767^2/40000</f>
        <v>0.00318309886183791</v>
      </c>
      <c r="N767" s="7" t="n">
        <f aca="false">F767*$Q$3</f>
        <v>8</v>
      </c>
      <c r="O767" s="3"/>
      <c r="P767" s="3"/>
      <c r="Q767" s="3"/>
    </row>
    <row r="768" customFormat="false" ht="15" hidden="false" customHeight="false" outlineLevel="0" collapsed="false">
      <c r="A768" s="2" t="s">
        <v>70</v>
      </c>
      <c r="B768" s="2" t="n">
        <v>1</v>
      </c>
      <c r="C768" s="2" t="n">
        <v>41</v>
      </c>
      <c r="D768" s="2" t="n">
        <v>1</v>
      </c>
      <c r="E768" s="2" t="n">
        <v>320</v>
      </c>
      <c r="F768" s="2" t="n">
        <v>120</v>
      </c>
      <c r="G768" s="2" t="s">
        <v>37</v>
      </c>
      <c r="H768" s="6" t="str">
        <f aca="false">A768&amp;"_"&amp;B768</f>
        <v>retiro_1</v>
      </c>
      <c r="I768" s="6" t="str">
        <f aca="false">H768&amp;"_"&amp;C768&amp;"_"&amp;G768</f>
        <v>retiro_1_41_Tabebuia cassinoides</v>
      </c>
      <c r="J768" s="6" t="n">
        <f aca="false">IF(COUNTIF($I$2:I768,I768)=1,1,0)</f>
        <v>1</v>
      </c>
      <c r="K768" s="6" t="n">
        <f aca="false">E768*$Q$2</f>
        <v>32</v>
      </c>
      <c r="L768" s="7" t="n">
        <f aca="false">K768/PI()</f>
        <v>10.1859163578813</v>
      </c>
      <c r="M768" s="8" t="n">
        <f aca="false">PI()*L768^2/40000</f>
        <v>0.00814873308630504</v>
      </c>
      <c r="N768" s="7" t="n">
        <f aca="false">F768*$Q$3</f>
        <v>12</v>
      </c>
      <c r="O768" s="3"/>
      <c r="P768" s="3"/>
      <c r="Q768" s="3"/>
    </row>
    <row r="769" customFormat="false" ht="15" hidden="false" customHeight="false" outlineLevel="0" collapsed="false">
      <c r="A769" s="2" t="s">
        <v>70</v>
      </c>
      <c r="B769" s="2" t="n">
        <v>1</v>
      </c>
      <c r="C769" s="2" t="n">
        <v>42</v>
      </c>
      <c r="D769" s="2" t="n">
        <v>1</v>
      </c>
      <c r="E769" s="2" t="n">
        <v>170</v>
      </c>
      <c r="F769" s="2" t="n">
        <v>40</v>
      </c>
      <c r="G769" s="2" t="s">
        <v>73</v>
      </c>
      <c r="H769" s="6" t="str">
        <f aca="false">A769&amp;"_"&amp;B769</f>
        <v>retiro_1</v>
      </c>
      <c r="I769" s="6" t="str">
        <f aca="false">H769&amp;"_"&amp;C769&amp;"_"&amp;G769</f>
        <v>retiro_1_42_Myrtaceae 3</v>
      </c>
      <c r="J769" s="6" t="n">
        <f aca="false">IF(COUNTIF($I$2:I769,I769)=1,1,0)</f>
        <v>1</v>
      </c>
      <c r="K769" s="6" t="n">
        <f aca="false">E769*$Q$2</f>
        <v>17</v>
      </c>
      <c r="L769" s="7" t="n">
        <f aca="false">K769/PI()</f>
        <v>5.41126806512444</v>
      </c>
      <c r="M769" s="8" t="n">
        <f aca="false">PI()*L769^2/40000</f>
        <v>0.00229978892767789</v>
      </c>
      <c r="N769" s="7" t="n">
        <f aca="false">F769*$Q$3</f>
        <v>4</v>
      </c>
      <c r="O769" s="3"/>
      <c r="P769" s="3"/>
      <c r="Q769" s="3"/>
    </row>
    <row r="770" customFormat="false" ht="15" hidden="false" customHeight="false" outlineLevel="0" collapsed="false">
      <c r="A770" s="2" t="s">
        <v>70</v>
      </c>
      <c r="B770" s="2" t="n">
        <v>1</v>
      </c>
      <c r="C770" s="2" t="n">
        <v>42</v>
      </c>
      <c r="D770" s="2" t="n">
        <v>2</v>
      </c>
      <c r="E770" s="2" t="n">
        <v>130</v>
      </c>
      <c r="F770" s="2" t="n">
        <v>40</v>
      </c>
      <c r="G770" s="2" t="s">
        <v>73</v>
      </c>
      <c r="H770" s="6" t="str">
        <f aca="false">A770&amp;"_"&amp;B770</f>
        <v>retiro_1</v>
      </c>
      <c r="I770" s="6" t="str">
        <f aca="false">H770&amp;"_"&amp;C770&amp;"_"&amp;G770</f>
        <v>retiro_1_42_Myrtaceae 3</v>
      </c>
      <c r="J770" s="6" t="n">
        <f aca="false">IF(COUNTIF($I$2:I770,I770)=1,1,0)</f>
        <v>0</v>
      </c>
      <c r="K770" s="6" t="n">
        <f aca="false">E770*$Q$2</f>
        <v>13</v>
      </c>
      <c r="L770" s="7" t="n">
        <f aca="false">K770/PI()</f>
        <v>4.13802852038928</v>
      </c>
      <c r="M770" s="8" t="n">
        <f aca="false">PI()*L770^2/40000</f>
        <v>0.00134485926912652</v>
      </c>
      <c r="N770" s="7" t="n">
        <f aca="false">F770*$Q$3</f>
        <v>4</v>
      </c>
      <c r="O770" s="3"/>
      <c r="P770" s="3"/>
      <c r="Q770" s="3"/>
    </row>
    <row r="771" customFormat="false" ht="15" hidden="false" customHeight="false" outlineLevel="0" collapsed="false">
      <c r="A771" s="2" t="s">
        <v>70</v>
      </c>
      <c r="B771" s="2" t="n">
        <v>1</v>
      </c>
      <c r="C771" s="2" t="n">
        <v>42</v>
      </c>
      <c r="D771" s="2" t="n">
        <v>3</v>
      </c>
      <c r="E771" s="2" t="n">
        <v>120</v>
      </c>
      <c r="F771" s="2" t="n">
        <v>40</v>
      </c>
      <c r="G771" s="2" t="s">
        <v>73</v>
      </c>
      <c r="H771" s="6" t="str">
        <f aca="false">A771&amp;"_"&amp;B771</f>
        <v>retiro_1</v>
      </c>
      <c r="I771" s="6" t="str">
        <f aca="false">H771&amp;"_"&amp;C771&amp;"_"&amp;G771</f>
        <v>retiro_1_42_Myrtaceae 3</v>
      </c>
      <c r="J771" s="6" t="n">
        <f aca="false">IF(COUNTIF($I$2:I771,I771)=1,1,0)</f>
        <v>0</v>
      </c>
      <c r="K771" s="6" t="n">
        <f aca="false">E771*$Q$2</f>
        <v>12</v>
      </c>
      <c r="L771" s="7" t="n">
        <f aca="false">K771/PI()</f>
        <v>3.81971863420549</v>
      </c>
      <c r="M771" s="8" t="n">
        <f aca="false">PI()*L771^2/40000</f>
        <v>0.00114591559026165</v>
      </c>
      <c r="N771" s="7" t="n">
        <f aca="false">F771*$Q$3</f>
        <v>4</v>
      </c>
      <c r="O771" s="3"/>
      <c r="P771" s="3"/>
      <c r="Q771" s="3"/>
    </row>
    <row r="772" customFormat="false" ht="15" hidden="false" customHeight="false" outlineLevel="0" collapsed="false">
      <c r="A772" s="2" t="s">
        <v>70</v>
      </c>
      <c r="B772" s="2" t="n">
        <v>1</v>
      </c>
      <c r="C772" s="2" t="n">
        <v>43</v>
      </c>
      <c r="D772" s="2" t="n">
        <v>1</v>
      </c>
      <c r="E772" s="2" t="n">
        <v>445</v>
      </c>
      <c r="F772" s="2" t="n">
        <v>100</v>
      </c>
      <c r="G772" s="2" t="s">
        <v>37</v>
      </c>
      <c r="H772" s="6" t="str">
        <f aca="false">A772&amp;"_"&amp;B772</f>
        <v>retiro_1</v>
      </c>
      <c r="I772" s="6" t="str">
        <f aca="false">H772&amp;"_"&amp;C772&amp;"_"&amp;G772</f>
        <v>retiro_1_43_Tabebuia cassinoides</v>
      </c>
      <c r="J772" s="6" t="n">
        <f aca="false">IF(COUNTIF($I$2:I772,I772)=1,1,0)</f>
        <v>1</v>
      </c>
      <c r="K772" s="6" t="n">
        <f aca="false">E772*$Q$2</f>
        <v>44.5</v>
      </c>
      <c r="L772" s="7" t="n">
        <f aca="false">K772/PI()</f>
        <v>14.1647899351787</v>
      </c>
      <c r="M772" s="8" t="n">
        <f aca="false">PI()*L772^2/40000</f>
        <v>0.0157583288028863</v>
      </c>
      <c r="N772" s="7" t="n">
        <f aca="false">F772*$Q$3</f>
        <v>10</v>
      </c>
      <c r="O772" s="3"/>
      <c r="P772" s="3"/>
      <c r="Q772" s="3"/>
    </row>
    <row r="773" customFormat="false" ht="15" hidden="false" customHeight="false" outlineLevel="0" collapsed="false">
      <c r="A773" s="2" t="s">
        <v>70</v>
      </c>
      <c r="B773" s="2" t="n">
        <v>1</v>
      </c>
      <c r="C773" s="2" t="n">
        <v>43</v>
      </c>
      <c r="D773" s="2" t="n">
        <v>2</v>
      </c>
      <c r="E773" s="2" t="n">
        <v>380</v>
      </c>
      <c r="F773" s="2" t="n">
        <v>100</v>
      </c>
      <c r="G773" s="2" t="s">
        <v>37</v>
      </c>
      <c r="H773" s="6" t="str">
        <f aca="false">A773&amp;"_"&amp;B773</f>
        <v>retiro_1</v>
      </c>
      <c r="I773" s="6" t="str">
        <f aca="false">H773&amp;"_"&amp;C773&amp;"_"&amp;G773</f>
        <v>retiro_1_43_Tabebuia cassinoides</v>
      </c>
      <c r="J773" s="6" t="n">
        <f aca="false">IF(COUNTIF($I$2:I773,I773)=1,1,0)</f>
        <v>0</v>
      </c>
      <c r="K773" s="6" t="n">
        <f aca="false">E773*$Q$2</f>
        <v>38</v>
      </c>
      <c r="L773" s="7" t="n">
        <f aca="false">K773/PI()</f>
        <v>12.095775674984</v>
      </c>
      <c r="M773" s="8" t="n">
        <f aca="false">PI()*L773^2/40000</f>
        <v>0.0114909868912348</v>
      </c>
      <c r="N773" s="7" t="n">
        <f aca="false">F773*$Q$3</f>
        <v>10</v>
      </c>
      <c r="O773" s="3"/>
      <c r="P773" s="3"/>
      <c r="Q773" s="3"/>
    </row>
    <row r="774" customFormat="false" ht="15" hidden="false" customHeight="false" outlineLevel="0" collapsed="false">
      <c r="A774" s="2" t="s">
        <v>70</v>
      </c>
      <c r="B774" s="2" t="n">
        <v>1</v>
      </c>
      <c r="C774" s="2" t="n">
        <v>44</v>
      </c>
      <c r="D774" s="2" t="n">
        <v>1</v>
      </c>
      <c r="E774" s="2" t="n">
        <v>260</v>
      </c>
      <c r="F774" s="2" t="n">
        <v>90</v>
      </c>
      <c r="G774" s="2" t="s">
        <v>60</v>
      </c>
      <c r="H774" s="6" t="str">
        <f aca="false">A774&amp;"_"&amp;B774</f>
        <v>retiro_1</v>
      </c>
      <c r="I774" s="6" t="str">
        <f aca="false">H774&amp;"_"&amp;C774&amp;"_"&amp;G774</f>
        <v>retiro_1_44_Alchornea triplinervia</v>
      </c>
      <c r="J774" s="6" t="n">
        <f aca="false">IF(COUNTIF($I$2:I774,I774)=1,1,0)</f>
        <v>1</v>
      </c>
      <c r="K774" s="6" t="n">
        <f aca="false">E774*$Q$2</f>
        <v>26</v>
      </c>
      <c r="L774" s="7" t="n">
        <f aca="false">K774/PI()</f>
        <v>8.27605704077856</v>
      </c>
      <c r="M774" s="8" t="n">
        <f aca="false">PI()*L774^2/40000</f>
        <v>0.00537943707650606</v>
      </c>
      <c r="N774" s="7" t="n">
        <f aca="false">F774*$Q$3</f>
        <v>9</v>
      </c>
      <c r="O774" s="3"/>
      <c r="P774" s="3"/>
      <c r="Q774" s="3"/>
    </row>
    <row r="775" customFormat="false" ht="15" hidden="false" customHeight="false" outlineLevel="0" collapsed="false">
      <c r="A775" s="2" t="s">
        <v>70</v>
      </c>
      <c r="B775" s="2" t="n">
        <v>1</v>
      </c>
      <c r="C775" s="2" t="n">
        <v>45</v>
      </c>
      <c r="D775" s="2" t="n">
        <v>1</v>
      </c>
      <c r="E775" s="2" t="n">
        <v>325</v>
      </c>
      <c r="F775" s="2" t="n">
        <v>90</v>
      </c>
      <c r="G775" s="2" t="s">
        <v>37</v>
      </c>
      <c r="H775" s="6" t="str">
        <f aca="false">A775&amp;"_"&amp;B775</f>
        <v>retiro_1</v>
      </c>
      <c r="I775" s="6" t="str">
        <f aca="false">H775&amp;"_"&amp;C775&amp;"_"&amp;G775</f>
        <v>retiro_1_45_Tabebuia cassinoides</v>
      </c>
      <c r="J775" s="6" t="n">
        <f aca="false">IF(COUNTIF($I$2:I775,I775)=1,1,0)</f>
        <v>1</v>
      </c>
      <c r="K775" s="6" t="n">
        <f aca="false">E775*$Q$2</f>
        <v>32.5</v>
      </c>
      <c r="L775" s="7" t="n">
        <f aca="false">K775/PI()</f>
        <v>10.3450713009732</v>
      </c>
      <c r="M775" s="8" t="n">
        <f aca="false">PI()*L775^2/40000</f>
        <v>0.00840537043204072</v>
      </c>
      <c r="N775" s="7" t="n">
        <f aca="false">F775*$Q$3</f>
        <v>9</v>
      </c>
      <c r="O775" s="3"/>
      <c r="P775" s="3"/>
      <c r="Q775" s="3"/>
    </row>
    <row r="776" customFormat="false" ht="15" hidden="false" customHeight="false" outlineLevel="0" collapsed="false">
      <c r="A776" s="2" t="s">
        <v>70</v>
      </c>
      <c r="B776" s="2" t="n">
        <v>1</v>
      </c>
      <c r="C776" s="2" t="n">
        <v>45</v>
      </c>
      <c r="D776" s="2" t="n">
        <v>2</v>
      </c>
      <c r="E776" s="2" t="n">
        <v>180</v>
      </c>
      <c r="F776" s="2" t="n">
        <v>90</v>
      </c>
      <c r="G776" s="2" t="s">
        <v>37</v>
      </c>
      <c r="H776" s="6" t="str">
        <f aca="false">A776&amp;"_"&amp;B776</f>
        <v>retiro_1</v>
      </c>
      <c r="I776" s="6" t="str">
        <f aca="false">H776&amp;"_"&amp;C776&amp;"_"&amp;G776</f>
        <v>retiro_1_45_Tabebuia cassinoides</v>
      </c>
      <c r="J776" s="6" t="n">
        <f aca="false">IF(COUNTIF($I$2:I776,I776)=1,1,0)</f>
        <v>0</v>
      </c>
      <c r="K776" s="6" t="n">
        <f aca="false">E776*$Q$2</f>
        <v>18</v>
      </c>
      <c r="L776" s="7" t="n">
        <f aca="false">K776/PI()</f>
        <v>5.72957795130823</v>
      </c>
      <c r="M776" s="8" t="n">
        <f aca="false">PI()*L776^2/40000</f>
        <v>0.0025783100780887</v>
      </c>
      <c r="N776" s="7" t="n">
        <f aca="false">F776*$Q$3</f>
        <v>9</v>
      </c>
      <c r="O776" s="3"/>
      <c r="P776" s="3"/>
      <c r="Q776" s="3"/>
    </row>
    <row r="777" customFormat="false" ht="15" hidden="false" customHeight="false" outlineLevel="0" collapsed="false">
      <c r="A777" s="2" t="s">
        <v>70</v>
      </c>
      <c r="B777" s="2" t="n">
        <v>1</v>
      </c>
      <c r="C777" s="2" t="n">
        <v>45</v>
      </c>
      <c r="D777" s="2" t="n">
        <v>3</v>
      </c>
      <c r="E777" s="2" t="n">
        <v>110</v>
      </c>
      <c r="F777" s="2" t="n">
        <v>90</v>
      </c>
      <c r="G777" s="2" t="s">
        <v>37</v>
      </c>
      <c r="H777" s="6" t="str">
        <f aca="false">A777&amp;"_"&amp;B777</f>
        <v>retiro_1</v>
      </c>
      <c r="I777" s="6" t="str">
        <f aca="false">H777&amp;"_"&amp;C777&amp;"_"&amp;G777</f>
        <v>retiro_1_45_Tabebuia cassinoides</v>
      </c>
      <c r="J777" s="6" t="n">
        <f aca="false">IF(COUNTIF($I$2:I777,I777)=1,1,0)</f>
        <v>0</v>
      </c>
      <c r="K777" s="6" t="n">
        <f aca="false">E777*$Q$2</f>
        <v>11</v>
      </c>
      <c r="L777" s="7" t="n">
        <f aca="false">K777/PI()</f>
        <v>3.5014087480217</v>
      </c>
      <c r="M777" s="8" t="n">
        <f aca="false">PI()*L777^2/40000</f>
        <v>0.000962887405705967</v>
      </c>
      <c r="N777" s="7" t="n">
        <f aca="false">F777*$Q$3</f>
        <v>9</v>
      </c>
      <c r="O777" s="3"/>
      <c r="P777" s="3"/>
      <c r="Q777" s="3"/>
    </row>
    <row r="778" customFormat="false" ht="15" hidden="false" customHeight="false" outlineLevel="0" collapsed="false">
      <c r="A778" s="2" t="s">
        <v>70</v>
      </c>
      <c r="B778" s="2" t="n">
        <v>1</v>
      </c>
      <c r="C778" s="2" t="n">
        <v>46</v>
      </c>
      <c r="D778" s="2" t="n">
        <v>1</v>
      </c>
      <c r="E778" s="2" t="n">
        <v>320</v>
      </c>
      <c r="F778" s="2" t="n">
        <v>90</v>
      </c>
      <c r="G778" s="2" t="s">
        <v>37</v>
      </c>
      <c r="H778" s="6" t="str">
        <f aca="false">A778&amp;"_"&amp;B778</f>
        <v>retiro_1</v>
      </c>
      <c r="I778" s="6" t="str">
        <f aca="false">H778&amp;"_"&amp;C778&amp;"_"&amp;G778</f>
        <v>retiro_1_46_Tabebuia cassinoides</v>
      </c>
      <c r="J778" s="6" t="n">
        <f aca="false">IF(COUNTIF($I$2:I778,I778)=1,1,0)</f>
        <v>1</v>
      </c>
      <c r="K778" s="6" t="n">
        <f aca="false">E778*$Q$2</f>
        <v>32</v>
      </c>
      <c r="L778" s="7" t="n">
        <f aca="false">K778/PI()</f>
        <v>10.1859163578813</v>
      </c>
      <c r="M778" s="8" t="n">
        <f aca="false">PI()*L778^2/40000</f>
        <v>0.00814873308630504</v>
      </c>
      <c r="N778" s="7" t="n">
        <f aca="false">F778*$Q$3</f>
        <v>9</v>
      </c>
      <c r="O778" s="3"/>
      <c r="P778" s="3"/>
      <c r="Q778" s="3"/>
    </row>
    <row r="779" customFormat="false" ht="15" hidden="false" customHeight="false" outlineLevel="0" collapsed="false">
      <c r="A779" s="2" t="s">
        <v>70</v>
      </c>
      <c r="B779" s="2" t="n">
        <v>1</v>
      </c>
      <c r="C779" s="2" t="n">
        <v>46</v>
      </c>
      <c r="D779" s="2" t="n">
        <v>2</v>
      </c>
      <c r="E779" s="2" t="n">
        <v>130</v>
      </c>
      <c r="F779" s="2" t="n">
        <v>90</v>
      </c>
      <c r="G779" s="2" t="s">
        <v>37</v>
      </c>
      <c r="H779" s="6" t="str">
        <f aca="false">A779&amp;"_"&amp;B779</f>
        <v>retiro_1</v>
      </c>
      <c r="I779" s="6" t="str">
        <f aca="false">H779&amp;"_"&amp;C779&amp;"_"&amp;G779</f>
        <v>retiro_1_46_Tabebuia cassinoides</v>
      </c>
      <c r="J779" s="6" t="n">
        <f aca="false">IF(COUNTIF($I$2:I779,I779)=1,1,0)</f>
        <v>0</v>
      </c>
      <c r="K779" s="6" t="n">
        <f aca="false">E779*$Q$2</f>
        <v>13</v>
      </c>
      <c r="L779" s="7" t="n">
        <f aca="false">K779/PI()</f>
        <v>4.13802852038928</v>
      </c>
      <c r="M779" s="8" t="n">
        <f aca="false">PI()*L779^2/40000</f>
        <v>0.00134485926912652</v>
      </c>
      <c r="N779" s="7" t="n">
        <f aca="false">F779*$Q$3</f>
        <v>9</v>
      </c>
      <c r="O779" s="3"/>
      <c r="P779" s="3"/>
      <c r="Q779" s="3"/>
    </row>
    <row r="780" customFormat="false" ht="15" hidden="false" customHeight="false" outlineLevel="0" collapsed="false">
      <c r="A780" s="2" t="s">
        <v>70</v>
      </c>
      <c r="B780" s="2" t="n">
        <v>1</v>
      </c>
      <c r="C780" s="2" t="n">
        <v>46</v>
      </c>
      <c r="D780" s="2" t="n">
        <v>3</v>
      </c>
      <c r="E780" s="2" t="n">
        <v>230</v>
      </c>
      <c r="F780" s="2" t="n">
        <v>90</v>
      </c>
      <c r="G780" s="2" t="s">
        <v>37</v>
      </c>
      <c r="H780" s="6" t="str">
        <f aca="false">A780&amp;"_"&amp;B780</f>
        <v>retiro_1</v>
      </c>
      <c r="I780" s="6" t="str">
        <f aca="false">H780&amp;"_"&amp;C780&amp;"_"&amp;G780</f>
        <v>retiro_1_46_Tabebuia cassinoides</v>
      </c>
      <c r="J780" s="6" t="n">
        <f aca="false">IF(COUNTIF($I$2:I780,I780)=1,1,0)</f>
        <v>0</v>
      </c>
      <c r="K780" s="6" t="n">
        <f aca="false">E780*$Q$2</f>
        <v>23</v>
      </c>
      <c r="L780" s="7" t="n">
        <f aca="false">K780/PI()</f>
        <v>7.32112738222719</v>
      </c>
      <c r="M780" s="8" t="n">
        <f aca="false">PI()*L780^2/40000</f>
        <v>0.00420964824478063</v>
      </c>
      <c r="N780" s="7" t="n">
        <f aca="false">F780*$Q$3</f>
        <v>9</v>
      </c>
      <c r="O780" s="3"/>
      <c r="P780" s="3"/>
      <c r="Q780" s="3"/>
    </row>
    <row r="781" customFormat="false" ht="15" hidden="false" customHeight="false" outlineLevel="0" collapsed="false">
      <c r="A781" s="2" t="s">
        <v>70</v>
      </c>
      <c r="B781" s="2" t="n">
        <v>1</v>
      </c>
      <c r="C781" s="2" t="n">
        <v>46</v>
      </c>
      <c r="D781" s="2" t="n">
        <v>4</v>
      </c>
      <c r="E781" s="2" t="n">
        <v>410</v>
      </c>
      <c r="F781" s="2" t="n">
        <v>90</v>
      </c>
      <c r="G781" s="2" t="s">
        <v>37</v>
      </c>
      <c r="H781" s="6" t="str">
        <f aca="false">A781&amp;"_"&amp;B781</f>
        <v>retiro_1</v>
      </c>
      <c r="I781" s="6" t="str">
        <f aca="false">H781&amp;"_"&amp;C781&amp;"_"&amp;G781</f>
        <v>retiro_1_46_Tabebuia cassinoides</v>
      </c>
      <c r="J781" s="6" t="n">
        <f aca="false">IF(COUNTIF($I$2:I781,I781)=1,1,0)</f>
        <v>0</v>
      </c>
      <c r="K781" s="6" t="n">
        <f aca="false">E781*$Q$2</f>
        <v>41</v>
      </c>
      <c r="L781" s="7" t="n">
        <f aca="false">K781/PI()</f>
        <v>13.0507053335354</v>
      </c>
      <c r="M781" s="8" t="n">
        <f aca="false">PI()*L781^2/40000</f>
        <v>0.0133769729668738</v>
      </c>
      <c r="N781" s="7" t="n">
        <f aca="false">F781*$Q$3</f>
        <v>9</v>
      </c>
      <c r="O781" s="3"/>
      <c r="P781" s="3"/>
      <c r="Q781" s="3"/>
    </row>
    <row r="782" customFormat="false" ht="15" hidden="false" customHeight="false" outlineLevel="0" collapsed="false">
      <c r="A782" s="2" t="s">
        <v>70</v>
      </c>
      <c r="B782" s="2" t="n">
        <v>1</v>
      </c>
      <c r="C782" s="2" t="n">
        <v>47</v>
      </c>
      <c r="D782" s="2" t="n">
        <v>1</v>
      </c>
      <c r="E782" s="2" t="n">
        <v>380</v>
      </c>
      <c r="F782" s="2" t="n">
        <v>80</v>
      </c>
      <c r="G782" s="2" t="s">
        <v>37</v>
      </c>
      <c r="H782" s="6" t="str">
        <f aca="false">A782&amp;"_"&amp;B782</f>
        <v>retiro_1</v>
      </c>
      <c r="I782" s="6" t="str">
        <f aca="false">H782&amp;"_"&amp;C782&amp;"_"&amp;G782</f>
        <v>retiro_1_47_Tabebuia cassinoides</v>
      </c>
      <c r="J782" s="6" t="n">
        <f aca="false">IF(COUNTIF($I$2:I782,I782)=1,1,0)</f>
        <v>1</v>
      </c>
      <c r="K782" s="6" t="n">
        <f aca="false">E782*$Q$2</f>
        <v>38</v>
      </c>
      <c r="L782" s="7" t="n">
        <f aca="false">K782/PI()</f>
        <v>12.095775674984</v>
      </c>
      <c r="M782" s="8" t="n">
        <f aca="false">PI()*L782^2/40000</f>
        <v>0.0114909868912348</v>
      </c>
      <c r="N782" s="7" t="n">
        <f aca="false">F782*$Q$3</f>
        <v>8</v>
      </c>
      <c r="O782" s="3"/>
      <c r="P782" s="3"/>
      <c r="Q782" s="3"/>
    </row>
    <row r="783" customFormat="false" ht="15" hidden="false" customHeight="false" outlineLevel="0" collapsed="false">
      <c r="A783" s="2" t="s">
        <v>70</v>
      </c>
      <c r="B783" s="2" t="n">
        <v>1</v>
      </c>
      <c r="C783" s="2" t="n">
        <v>47</v>
      </c>
      <c r="D783" s="2" t="n">
        <v>2</v>
      </c>
      <c r="E783" s="2" t="n">
        <v>70</v>
      </c>
      <c r="F783" s="2" t="n">
        <v>80</v>
      </c>
      <c r="G783" s="2" t="s">
        <v>37</v>
      </c>
      <c r="H783" s="6" t="str">
        <f aca="false">A783&amp;"_"&amp;B783</f>
        <v>retiro_1</v>
      </c>
      <c r="I783" s="6" t="str">
        <f aca="false">H783&amp;"_"&amp;C783&amp;"_"&amp;G783</f>
        <v>retiro_1_47_Tabebuia cassinoides</v>
      </c>
      <c r="J783" s="6" t="n">
        <f aca="false">IF(COUNTIF($I$2:I783,I783)=1,1,0)</f>
        <v>0</v>
      </c>
      <c r="K783" s="6" t="n">
        <f aca="false">E783*$Q$2</f>
        <v>7</v>
      </c>
      <c r="L783" s="7" t="n">
        <f aca="false">K783/PI()</f>
        <v>2.22816920328654</v>
      </c>
      <c r="M783" s="8" t="n">
        <f aca="false">PI()*L783^2/40000</f>
        <v>0.000389929610575144</v>
      </c>
      <c r="N783" s="7" t="n">
        <f aca="false">F783*$Q$3</f>
        <v>8</v>
      </c>
      <c r="O783" s="3"/>
      <c r="P783" s="3"/>
      <c r="Q783" s="3"/>
    </row>
    <row r="784" customFormat="false" ht="15" hidden="false" customHeight="false" outlineLevel="0" collapsed="false">
      <c r="A784" s="2" t="s">
        <v>70</v>
      </c>
      <c r="B784" s="2" t="n">
        <v>1</v>
      </c>
      <c r="C784" s="2" t="n">
        <v>48</v>
      </c>
      <c r="D784" s="2" t="n">
        <v>1</v>
      </c>
      <c r="E784" s="2" t="n">
        <v>420</v>
      </c>
      <c r="F784" s="2" t="n">
        <v>110</v>
      </c>
      <c r="G784" s="2" t="s">
        <v>37</v>
      </c>
      <c r="H784" s="6" t="str">
        <f aca="false">A784&amp;"_"&amp;B784</f>
        <v>retiro_1</v>
      </c>
      <c r="I784" s="6" t="str">
        <f aca="false">H784&amp;"_"&amp;C784&amp;"_"&amp;G784</f>
        <v>retiro_1_48_Tabebuia cassinoides</v>
      </c>
      <c r="J784" s="6" t="n">
        <f aca="false">IF(COUNTIF($I$2:I784,I784)=1,1,0)</f>
        <v>1</v>
      </c>
      <c r="K784" s="6" t="n">
        <f aca="false">E784*$Q$2</f>
        <v>42</v>
      </c>
      <c r="L784" s="7" t="n">
        <f aca="false">K784/PI()</f>
        <v>13.3690152197192</v>
      </c>
      <c r="M784" s="8" t="n">
        <f aca="false">PI()*L784^2/40000</f>
        <v>0.0140374659807052</v>
      </c>
      <c r="N784" s="7" t="n">
        <f aca="false">F784*$Q$3</f>
        <v>11</v>
      </c>
      <c r="O784" s="3"/>
      <c r="P784" s="3"/>
      <c r="Q784" s="3"/>
    </row>
    <row r="785" customFormat="false" ht="15" hidden="false" customHeight="false" outlineLevel="0" collapsed="false">
      <c r="A785" s="2" t="s">
        <v>70</v>
      </c>
      <c r="B785" s="2" t="n">
        <v>1</v>
      </c>
      <c r="C785" s="2" t="n">
        <v>48</v>
      </c>
      <c r="D785" s="2" t="n">
        <v>2</v>
      </c>
      <c r="E785" s="2" t="n">
        <v>180</v>
      </c>
      <c r="F785" s="2" t="n">
        <v>110</v>
      </c>
      <c r="G785" s="2" t="s">
        <v>37</v>
      </c>
      <c r="H785" s="6" t="str">
        <f aca="false">A785&amp;"_"&amp;B785</f>
        <v>retiro_1</v>
      </c>
      <c r="I785" s="6" t="str">
        <f aca="false">H785&amp;"_"&amp;C785&amp;"_"&amp;G785</f>
        <v>retiro_1_48_Tabebuia cassinoides</v>
      </c>
      <c r="J785" s="6" t="n">
        <f aca="false">IF(COUNTIF($I$2:I785,I785)=1,1,0)</f>
        <v>0</v>
      </c>
      <c r="K785" s="6" t="n">
        <f aca="false">E785*$Q$2</f>
        <v>18</v>
      </c>
      <c r="L785" s="7" t="n">
        <f aca="false">K785/PI()</f>
        <v>5.72957795130823</v>
      </c>
      <c r="M785" s="8" t="n">
        <f aca="false">PI()*L785^2/40000</f>
        <v>0.0025783100780887</v>
      </c>
      <c r="N785" s="7" t="n">
        <f aca="false">F785*$Q$3</f>
        <v>11</v>
      </c>
      <c r="O785" s="3"/>
      <c r="P785" s="3"/>
      <c r="Q785" s="3"/>
    </row>
    <row r="786" customFormat="false" ht="15" hidden="false" customHeight="false" outlineLevel="0" collapsed="false">
      <c r="A786" s="2" t="s">
        <v>70</v>
      </c>
      <c r="B786" s="2" t="n">
        <v>1</v>
      </c>
      <c r="C786" s="2" t="n">
        <v>48</v>
      </c>
      <c r="D786" s="2" t="n">
        <v>3</v>
      </c>
      <c r="E786" s="2" t="n">
        <v>30</v>
      </c>
      <c r="F786" s="2" t="n">
        <v>110</v>
      </c>
      <c r="G786" s="2" t="s">
        <v>37</v>
      </c>
      <c r="H786" s="6" t="str">
        <f aca="false">A786&amp;"_"&amp;B786</f>
        <v>retiro_1</v>
      </c>
      <c r="I786" s="6" t="str">
        <f aca="false">H786&amp;"_"&amp;C786&amp;"_"&amp;G786</f>
        <v>retiro_1_48_Tabebuia cassinoides</v>
      </c>
      <c r="J786" s="6" t="n">
        <f aca="false">IF(COUNTIF($I$2:I786,I786)=1,1,0)</f>
        <v>0</v>
      </c>
      <c r="K786" s="6" t="n">
        <f aca="false">E786*$Q$2</f>
        <v>3</v>
      </c>
      <c r="L786" s="7" t="n">
        <f aca="false">K786/PI()</f>
        <v>0.954929658551372</v>
      </c>
      <c r="M786" s="8" t="n">
        <f aca="false">PI()*L786^2/40000</f>
        <v>7.16197243913529E-005</v>
      </c>
      <c r="N786" s="7" t="n">
        <f aca="false">F786*$Q$3</f>
        <v>11</v>
      </c>
      <c r="O786" s="3"/>
      <c r="P786" s="3"/>
      <c r="Q786" s="3"/>
    </row>
    <row r="787" customFormat="false" ht="15" hidden="false" customHeight="false" outlineLevel="0" collapsed="false">
      <c r="A787" s="2" t="s">
        <v>70</v>
      </c>
      <c r="B787" s="2" t="n">
        <v>1</v>
      </c>
      <c r="C787" s="2" t="n">
        <v>48</v>
      </c>
      <c r="D787" s="2" t="n">
        <v>4</v>
      </c>
      <c r="E787" s="2" t="n">
        <v>60</v>
      </c>
      <c r="F787" s="2" t="n">
        <v>110</v>
      </c>
      <c r="G787" s="2" t="s">
        <v>37</v>
      </c>
      <c r="H787" s="6" t="str">
        <f aca="false">A787&amp;"_"&amp;B787</f>
        <v>retiro_1</v>
      </c>
      <c r="I787" s="6" t="str">
        <f aca="false">H787&amp;"_"&amp;C787&amp;"_"&amp;G787</f>
        <v>retiro_1_48_Tabebuia cassinoides</v>
      </c>
      <c r="J787" s="6" t="n">
        <f aca="false">IF(COUNTIF($I$2:I787,I787)=1,1,0)</f>
        <v>0</v>
      </c>
      <c r="K787" s="6" t="n">
        <f aca="false">E787*$Q$2</f>
        <v>6</v>
      </c>
      <c r="L787" s="7" t="n">
        <f aca="false">K787/PI()</f>
        <v>1.90985931710274</v>
      </c>
      <c r="M787" s="8" t="n">
        <f aca="false">PI()*L787^2/40000</f>
        <v>0.000286478897565412</v>
      </c>
      <c r="N787" s="7" t="n">
        <f aca="false">F787*$Q$3</f>
        <v>11</v>
      </c>
      <c r="O787" s="3"/>
      <c r="P787" s="3"/>
      <c r="Q787" s="3"/>
    </row>
    <row r="788" customFormat="false" ht="15" hidden="false" customHeight="false" outlineLevel="0" collapsed="false">
      <c r="A788" s="2" t="s">
        <v>70</v>
      </c>
      <c r="B788" s="2" t="n">
        <v>1</v>
      </c>
      <c r="C788" s="2" t="n">
        <v>48</v>
      </c>
      <c r="D788" s="2" t="n">
        <v>5</v>
      </c>
      <c r="E788" s="2" t="n">
        <v>120</v>
      </c>
      <c r="F788" s="2" t="n">
        <v>110</v>
      </c>
      <c r="G788" s="2" t="s">
        <v>37</v>
      </c>
      <c r="H788" s="6" t="str">
        <f aca="false">A788&amp;"_"&amp;B788</f>
        <v>retiro_1</v>
      </c>
      <c r="I788" s="6" t="str">
        <f aca="false">H788&amp;"_"&amp;C788&amp;"_"&amp;G788</f>
        <v>retiro_1_48_Tabebuia cassinoides</v>
      </c>
      <c r="J788" s="6" t="n">
        <f aca="false">IF(COUNTIF($I$2:I788,I788)=1,1,0)</f>
        <v>0</v>
      </c>
      <c r="K788" s="6" t="n">
        <f aca="false">E788*$Q$2</f>
        <v>12</v>
      </c>
      <c r="L788" s="7" t="n">
        <f aca="false">K788/PI()</f>
        <v>3.81971863420549</v>
      </c>
      <c r="M788" s="8" t="n">
        <f aca="false">PI()*L788^2/40000</f>
        <v>0.00114591559026165</v>
      </c>
      <c r="N788" s="7" t="n">
        <f aca="false">F788*$Q$3</f>
        <v>11</v>
      </c>
      <c r="O788" s="3"/>
      <c r="P788" s="3"/>
      <c r="Q788" s="3"/>
    </row>
    <row r="789" customFormat="false" ht="15" hidden="false" customHeight="false" outlineLevel="0" collapsed="false">
      <c r="A789" s="2" t="s">
        <v>70</v>
      </c>
      <c r="B789" s="2" t="n">
        <v>1</v>
      </c>
      <c r="C789" s="2" t="n">
        <v>49</v>
      </c>
      <c r="D789" s="2" t="n">
        <v>1</v>
      </c>
      <c r="E789" s="2" t="n">
        <v>470</v>
      </c>
      <c r="F789" s="2" t="n">
        <v>100</v>
      </c>
      <c r="G789" s="2" t="s">
        <v>37</v>
      </c>
      <c r="H789" s="6" t="str">
        <f aca="false">A789&amp;"_"&amp;B789</f>
        <v>retiro_1</v>
      </c>
      <c r="I789" s="6" t="str">
        <f aca="false">H789&amp;"_"&amp;C789&amp;"_"&amp;G789</f>
        <v>retiro_1_49_Tabebuia cassinoides</v>
      </c>
      <c r="J789" s="6" t="n">
        <f aca="false">IF(COUNTIF($I$2:I789,I789)=1,1,0)</f>
        <v>1</v>
      </c>
      <c r="K789" s="6" t="n">
        <f aca="false">E789*$Q$2</f>
        <v>47</v>
      </c>
      <c r="L789" s="7" t="n">
        <f aca="false">K789/PI()</f>
        <v>14.9605646506382</v>
      </c>
      <c r="M789" s="8" t="n">
        <f aca="false">PI()*L789^2/40000</f>
        <v>0.0175786634644998</v>
      </c>
      <c r="N789" s="7" t="n">
        <f aca="false">F789*$Q$3</f>
        <v>10</v>
      </c>
      <c r="O789" s="3"/>
      <c r="P789" s="3"/>
      <c r="Q789" s="3"/>
    </row>
    <row r="790" customFormat="false" ht="15" hidden="false" customHeight="false" outlineLevel="0" collapsed="false">
      <c r="A790" s="2" t="s">
        <v>70</v>
      </c>
      <c r="B790" s="2" t="n">
        <v>1</v>
      </c>
      <c r="C790" s="2" t="n">
        <v>49</v>
      </c>
      <c r="D790" s="2" t="n">
        <v>2</v>
      </c>
      <c r="E790" s="2" t="n">
        <v>60</v>
      </c>
      <c r="F790" s="2" t="n">
        <v>100</v>
      </c>
      <c r="G790" s="2" t="s">
        <v>37</v>
      </c>
      <c r="H790" s="6" t="str">
        <f aca="false">A790&amp;"_"&amp;B790</f>
        <v>retiro_1</v>
      </c>
      <c r="I790" s="6" t="str">
        <f aca="false">H790&amp;"_"&amp;C790&amp;"_"&amp;G790</f>
        <v>retiro_1_49_Tabebuia cassinoides</v>
      </c>
      <c r="J790" s="6" t="n">
        <f aca="false">IF(COUNTIF($I$2:I790,I790)=1,1,0)</f>
        <v>0</v>
      </c>
      <c r="K790" s="6" t="n">
        <f aca="false">E790*$Q$2</f>
        <v>6</v>
      </c>
      <c r="L790" s="7" t="n">
        <f aca="false">K790/PI()</f>
        <v>1.90985931710274</v>
      </c>
      <c r="M790" s="8" t="n">
        <f aca="false">PI()*L790^2/40000</f>
        <v>0.000286478897565412</v>
      </c>
      <c r="N790" s="7" t="n">
        <f aca="false">F790*$Q$3</f>
        <v>10</v>
      </c>
      <c r="O790" s="3"/>
      <c r="P790" s="3"/>
      <c r="Q790" s="3"/>
    </row>
    <row r="791" customFormat="false" ht="15" hidden="false" customHeight="false" outlineLevel="0" collapsed="false">
      <c r="A791" s="2" t="s">
        <v>70</v>
      </c>
      <c r="B791" s="2" t="n">
        <v>1</v>
      </c>
      <c r="C791" s="2" t="n">
        <v>49</v>
      </c>
      <c r="D791" s="2" t="n">
        <v>3</v>
      </c>
      <c r="E791" s="2" t="n">
        <v>140</v>
      </c>
      <c r="F791" s="2" t="n">
        <v>100</v>
      </c>
      <c r="G791" s="2" t="s">
        <v>37</v>
      </c>
      <c r="H791" s="6" t="str">
        <f aca="false">A791&amp;"_"&amp;B791</f>
        <v>retiro_1</v>
      </c>
      <c r="I791" s="6" t="str">
        <f aca="false">H791&amp;"_"&amp;C791&amp;"_"&amp;G791</f>
        <v>retiro_1_49_Tabebuia cassinoides</v>
      </c>
      <c r="J791" s="6" t="n">
        <f aca="false">IF(COUNTIF($I$2:I791,I791)=1,1,0)</f>
        <v>0</v>
      </c>
      <c r="K791" s="6" t="n">
        <f aca="false">E791*$Q$2</f>
        <v>14</v>
      </c>
      <c r="L791" s="7" t="n">
        <f aca="false">K791/PI()</f>
        <v>4.45633840657307</v>
      </c>
      <c r="M791" s="8" t="n">
        <f aca="false">PI()*L791^2/40000</f>
        <v>0.00155971844230057</v>
      </c>
      <c r="N791" s="7" t="n">
        <f aca="false">F791*$Q$3</f>
        <v>10</v>
      </c>
      <c r="O791" s="3"/>
      <c r="P791" s="3"/>
      <c r="Q791" s="3"/>
    </row>
    <row r="792" customFormat="false" ht="15" hidden="false" customHeight="false" outlineLevel="0" collapsed="false">
      <c r="A792" s="2" t="s">
        <v>70</v>
      </c>
      <c r="B792" s="2" t="n">
        <v>1</v>
      </c>
      <c r="C792" s="2" t="n">
        <v>49</v>
      </c>
      <c r="D792" s="2" t="n">
        <v>4</v>
      </c>
      <c r="E792" s="2" t="n">
        <v>240</v>
      </c>
      <c r="F792" s="2" t="n">
        <v>100</v>
      </c>
      <c r="G792" s="2" t="s">
        <v>37</v>
      </c>
      <c r="H792" s="6" t="str">
        <f aca="false">A792&amp;"_"&amp;B792</f>
        <v>retiro_1</v>
      </c>
      <c r="I792" s="6" t="str">
        <f aca="false">H792&amp;"_"&amp;C792&amp;"_"&amp;G792</f>
        <v>retiro_1_49_Tabebuia cassinoides</v>
      </c>
      <c r="J792" s="6" t="n">
        <f aca="false">IF(COUNTIF($I$2:I792,I792)=1,1,0)</f>
        <v>0</v>
      </c>
      <c r="K792" s="6" t="n">
        <f aca="false">E792*$Q$2</f>
        <v>24</v>
      </c>
      <c r="L792" s="7" t="n">
        <f aca="false">K792/PI()</f>
        <v>7.63943726841098</v>
      </c>
      <c r="M792" s="8" t="n">
        <f aca="false">PI()*L792^2/40000</f>
        <v>0.00458366236104659</v>
      </c>
      <c r="N792" s="7" t="n">
        <f aca="false">F792*$Q$3</f>
        <v>10</v>
      </c>
      <c r="O792" s="3"/>
      <c r="P792" s="3"/>
      <c r="Q792" s="3"/>
    </row>
    <row r="793" customFormat="false" ht="15" hidden="false" customHeight="false" outlineLevel="0" collapsed="false">
      <c r="A793" s="2" t="s">
        <v>70</v>
      </c>
      <c r="B793" s="2" t="n">
        <v>1</v>
      </c>
      <c r="C793" s="2" t="n">
        <v>50</v>
      </c>
      <c r="D793" s="2" t="n">
        <v>1</v>
      </c>
      <c r="E793" s="2" t="n">
        <v>200</v>
      </c>
      <c r="F793" s="2" t="n">
        <v>50</v>
      </c>
      <c r="G793" s="2" t="s">
        <v>71</v>
      </c>
      <c r="H793" s="6" t="str">
        <f aca="false">A793&amp;"_"&amp;B793</f>
        <v>retiro_1</v>
      </c>
      <c r="I793" s="6" t="str">
        <f aca="false">H793&amp;"_"&amp;C793&amp;"_"&amp;G793</f>
        <v>retiro_1_50_Mela 1</v>
      </c>
      <c r="J793" s="6" t="n">
        <f aca="false">IF(COUNTIF($I$2:I793,I793)=1,1,0)</f>
        <v>1</v>
      </c>
      <c r="K793" s="6" t="n">
        <f aca="false">E793*$Q$2</f>
        <v>20</v>
      </c>
      <c r="L793" s="7" t="n">
        <f aca="false">K793/PI()</f>
        <v>6.36619772367581</v>
      </c>
      <c r="M793" s="8" t="n">
        <f aca="false">PI()*L793^2/40000</f>
        <v>0.00318309886183791</v>
      </c>
      <c r="N793" s="7" t="n">
        <f aca="false">F793*$Q$3</f>
        <v>5</v>
      </c>
      <c r="O793" s="3"/>
      <c r="P793" s="3"/>
      <c r="Q793" s="3"/>
    </row>
    <row r="794" customFormat="false" ht="15" hidden="false" customHeight="false" outlineLevel="0" collapsed="false">
      <c r="A794" s="2" t="s">
        <v>70</v>
      </c>
      <c r="B794" s="2" t="n">
        <v>1</v>
      </c>
      <c r="C794" s="2" t="n">
        <v>51</v>
      </c>
      <c r="D794" s="2" t="n">
        <v>1</v>
      </c>
      <c r="E794" s="2" t="n">
        <v>390</v>
      </c>
      <c r="F794" s="2" t="n">
        <v>100</v>
      </c>
      <c r="G794" s="2" t="s">
        <v>37</v>
      </c>
      <c r="H794" s="6" t="str">
        <f aca="false">A794&amp;"_"&amp;B794</f>
        <v>retiro_1</v>
      </c>
      <c r="I794" s="6" t="str">
        <f aca="false">H794&amp;"_"&amp;C794&amp;"_"&amp;G794</f>
        <v>retiro_1_51_Tabebuia cassinoides</v>
      </c>
      <c r="J794" s="6" t="n">
        <f aca="false">IF(COUNTIF($I$2:I794,I794)=1,1,0)</f>
        <v>1</v>
      </c>
      <c r="K794" s="6" t="n">
        <f aca="false">E794*$Q$2</f>
        <v>39</v>
      </c>
      <c r="L794" s="7" t="n">
        <f aca="false">K794/PI()</f>
        <v>12.4140855611678</v>
      </c>
      <c r="M794" s="8" t="n">
        <f aca="false">PI()*L794^2/40000</f>
        <v>0.0121037334221386</v>
      </c>
      <c r="N794" s="7" t="n">
        <f aca="false">F794*$Q$3</f>
        <v>10</v>
      </c>
      <c r="O794" s="3"/>
      <c r="P794" s="3"/>
      <c r="Q794" s="3"/>
    </row>
    <row r="795" customFormat="false" ht="15" hidden="false" customHeight="false" outlineLevel="0" collapsed="false">
      <c r="A795" s="2" t="s">
        <v>70</v>
      </c>
      <c r="B795" s="2" t="n">
        <v>1</v>
      </c>
      <c r="C795" s="2" t="n">
        <v>52</v>
      </c>
      <c r="D795" s="2" t="n">
        <v>1</v>
      </c>
      <c r="E795" s="2" t="n">
        <v>270</v>
      </c>
      <c r="F795" s="2" t="n">
        <v>110</v>
      </c>
      <c r="G795" s="2" t="s">
        <v>37</v>
      </c>
      <c r="H795" s="6" t="str">
        <f aca="false">A795&amp;"_"&amp;B795</f>
        <v>retiro_1</v>
      </c>
      <c r="I795" s="6" t="str">
        <f aca="false">H795&amp;"_"&amp;C795&amp;"_"&amp;G795</f>
        <v>retiro_1_52_Tabebuia cassinoides</v>
      </c>
      <c r="J795" s="6" t="n">
        <f aca="false">IF(COUNTIF($I$2:I795,I795)=1,1,0)</f>
        <v>1</v>
      </c>
      <c r="K795" s="6" t="n">
        <f aca="false">E795*$Q$2</f>
        <v>27</v>
      </c>
      <c r="L795" s="7" t="n">
        <f aca="false">K795/PI()</f>
        <v>8.59436692696235</v>
      </c>
      <c r="M795" s="8" t="n">
        <f aca="false">PI()*L795^2/40000</f>
        <v>0.00580119767569958</v>
      </c>
      <c r="N795" s="7" t="n">
        <f aca="false">F795*$Q$3</f>
        <v>11</v>
      </c>
      <c r="O795" s="3"/>
      <c r="P795" s="3"/>
      <c r="Q795" s="3"/>
    </row>
    <row r="796" customFormat="false" ht="15" hidden="false" customHeight="false" outlineLevel="0" collapsed="false">
      <c r="A796" s="2" t="s">
        <v>70</v>
      </c>
      <c r="B796" s="2" t="n">
        <v>1</v>
      </c>
      <c r="C796" s="2" t="n">
        <v>53</v>
      </c>
      <c r="D796" s="2" t="n">
        <v>1</v>
      </c>
      <c r="E796" s="2" t="n">
        <v>290</v>
      </c>
      <c r="F796" s="2" t="n">
        <v>80</v>
      </c>
      <c r="G796" s="2" t="s">
        <v>37</v>
      </c>
      <c r="H796" s="6" t="str">
        <f aca="false">A796&amp;"_"&amp;B796</f>
        <v>retiro_1</v>
      </c>
      <c r="I796" s="6" t="str">
        <f aca="false">H796&amp;"_"&amp;C796&amp;"_"&amp;G796</f>
        <v>retiro_1_53_Tabebuia cassinoides</v>
      </c>
      <c r="J796" s="6" t="n">
        <f aca="false">IF(COUNTIF($I$2:I796,I796)=1,1,0)</f>
        <v>1</v>
      </c>
      <c r="K796" s="6" t="n">
        <f aca="false">E796*$Q$2</f>
        <v>29</v>
      </c>
      <c r="L796" s="7" t="n">
        <f aca="false">K796/PI()</f>
        <v>9.23098669932993</v>
      </c>
      <c r="M796" s="8" t="n">
        <f aca="false">PI()*L796^2/40000</f>
        <v>0.0066924653570142</v>
      </c>
      <c r="N796" s="7" t="n">
        <f aca="false">F796*$Q$3</f>
        <v>8</v>
      </c>
      <c r="O796" s="3"/>
      <c r="P796" s="3"/>
      <c r="Q796" s="3"/>
    </row>
    <row r="797" customFormat="false" ht="15" hidden="false" customHeight="false" outlineLevel="0" collapsed="false">
      <c r="A797" s="2" t="s">
        <v>70</v>
      </c>
      <c r="B797" s="2" t="n">
        <v>1</v>
      </c>
      <c r="C797" s="2" t="n">
        <v>53</v>
      </c>
      <c r="D797" s="2" t="n">
        <v>2</v>
      </c>
      <c r="E797" s="2" t="n">
        <v>130</v>
      </c>
      <c r="F797" s="2" t="n">
        <v>80</v>
      </c>
      <c r="G797" s="2" t="s">
        <v>37</v>
      </c>
      <c r="H797" s="6" t="str">
        <f aca="false">A797&amp;"_"&amp;B797</f>
        <v>retiro_1</v>
      </c>
      <c r="I797" s="6" t="str">
        <f aca="false">H797&amp;"_"&amp;C797&amp;"_"&amp;G797</f>
        <v>retiro_1_53_Tabebuia cassinoides</v>
      </c>
      <c r="J797" s="6" t="n">
        <f aca="false">IF(COUNTIF($I$2:I797,I797)=1,1,0)</f>
        <v>0</v>
      </c>
      <c r="K797" s="6" t="n">
        <f aca="false">E797*$Q$2</f>
        <v>13</v>
      </c>
      <c r="L797" s="7" t="n">
        <f aca="false">K797/PI()</f>
        <v>4.13802852038928</v>
      </c>
      <c r="M797" s="8" t="n">
        <f aca="false">PI()*L797^2/40000</f>
        <v>0.00134485926912652</v>
      </c>
      <c r="N797" s="7" t="n">
        <f aca="false">F797*$Q$3</f>
        <v>8</v>
      </c>
      <c r="O797" s="3"/>
      <c r="P797" s="3"/>
      <c r="Q797" s="3"/>
    </row>
    <row r="798" customFormat="false" ht="15" hidden="false" customHeight="false" outlineLevel="0" collapsed="false">
      <c r="A798" s="2" t="s">
        <v>70</v>
      </c>
      <c r="B798" s="2" t="n">
        <v>1</v>
      </c>
      <c r="C798" s="2" t="n">
        <v>53</v>
      </c>
      <c r="D798" s="2" t="n">
        <v>3</v>
      </c>
      <c r="E798" s="2" t="n">
        <v>100</v>
      </c>
      <c r="F798" s="2" t="n">
        <v>80</v>
      </c>
      <c r="G798" s="2" t="s">
        <v>37</v>
      </c>
      <c r="H798" s="6" t="str">
        <f aca="false">A798&amp;"_"&amp;B798</f>
        <v>retiro_1</v>
      </c>
      <c r="I798" s="6" t="str">
        <f aca="false">H798&amp;"_"&amp;C798&amp;"_"&amp;G798</f>
        <v>retiro_1_53_Tabebuia cassinoides</v>
      </c>
      <c r="J798" s="6" t="n">
        <f aca="false">IF(COUNTIF($I$2:I798,I798)=1,1,0)</f>
        <v>0</v>
      </c>
      <c r="K798" s="6" t="n">
        <f aca="false">E798*$Q$2</f>
        <v>10</v>
      </c>
      <c r="L798" s="7" t="n">
        <f aca="false">K798/PI()</f>
        <v>3.18309886183791</v>
      </c>
      <c r="M798" s="8" t="n">
        <f aca="false">PI()*L798^2/40000</f>
        <v>0.000795774715459477</v>
      </c>
      <c r="N798" s="7" t="n">
        <f aca="false">F798*$Q$3</f>
        <v>8</v>
      </c>
      <c r="O798" s="3"/>
      <c r="P798" s="3"/>
      <c r="Q798" s="3"/>
    </row>
    <row r="799" customFormat="false" ht="15" hidden="false" customHeight="false" outlineLevel="0" collapsed="false">
      <c r="A799" s="2" t="s">
        <v>70</v>
      </c>
      <c r="B799" s="2" t="n">
        <v>1</v>
      </c>
      <c r="C799" s="2" t="n">
        <v>54</v>
      </c>
      <c r="D799" s="2" t="n">
        <v>1</v>
      </c>
      <c r="E799" s="2" t="n">
        <v>280</v>
      </c>
      <c r="F799" s="2" t="n">
        <v>80</v>
      </c>
      <c r="G799" s="2" t="s">
        <v>37</v>
      </c>
      <c r="H799" s="6" t="str">
        <f aca="false">A799&amp;"_"&amp;B799</f>
        <v>retiro_1</v>
      </c>
      <c r="I799" s="6" t="str">
        <f aca="false">H799&amp;"_"&amp;C799&amp;"_"&amp;G799</f>
        <v>retiro_1_54_Tabebuia cassinoides</v>
      </c>
      <c r="J799" s="6" t="n">
        <f aca="false">IF(COUNTIF($I$2:I799,I799)=1,1,0)</f>
        <v>1</v>
      </c>
      <c r="K799" s="6" t="n">
        <f aca="false">E799*$Q$2</f>
        <v>28</v>
      </c>
      <c r="L799" s="7" t="n">
        <f aca="false">K799/PI()</f>
        <v>8.91267681314614</v>
      </c>
      <c r="M799" s="8" t="n">
        <f aca="false">PI()*L799^2/40000</f>
        <v>0.0062388737692023</v>
      </c>
      <c r="N799" s="7" t="n">
        <f aca="false">F799*$Q$3</f>
        <v>8</v>
      </c>
      <c r="O799" s="3"/>
      <c r="P799" s="3"/>
      <c r="Q799" s="3"/>
    </row>
    <row r="800" customFormat="false" ht="15" hidden="false" customHeight="false" outlineLevel="0" collapsed="false">
      <c r="A800" s="2" t="s">
        <v>70</v>
      </c>
      <c r="B800" s="2" t="n">
        <v>1</v>
      </c>
      <c r="C800" s="2" t="n">
        <v>55</v>
      </c>
      <c r="D800" s="2" t="n">
        <v>1</v>
      </c>
      <c r="E800" s="2" t="n">
        <v>440</v>
      </c>
      <c r="F800" s="2" t="n">
        <v>150</v>
      </c>
      <c r="G800" s="2" t="s">
        <v>37</v>
      </c>
      <c r="H800" s="6" t="str">
        <f aca="false">A800&amp;"_"&amp;B800</f>
        <v>retiro_1</v>
      </c>
      <c r="I800" s="6" t="str">
        <f aca="false">H800&amp;"_"&amp;C800&amp;"_"&amp;G800</f>
        <v>retiro_1_55_Tabebuia cassinoides</v>
      </c>
      <c r="J800" s="6" t="n">
        <f aca="false">IF(COUNTIF($I$2:I800,I800)=1,1,0)</f>
        <v>1</v>
      </c>
      <c r="K800" s="6" t="n">
        <f aca="false">E800*$Q$2</f>
        <v>44</v>
      </c>
      <c r="L800" s="7" t="n">
        <f aca="false">K800/PI()</f>
        <v>14.0056349920868</v>
      </c>
      <c r="M800" s="8" t="n">
        <f aca="false">PI()*L800^2/40000</f>
        <v>0.0154061984912955</v>
      </c>
      <c r="N800" s="7" t="n">
        <f aca="false">F800*$Q$3</f>
        <v>15</v>
      </c>
      <c r="O800" s="3"/>
      <c r="P800" s="3"/>
      <c r="Q800" s="3"/>
    </row>
    <row r="801" customFormat="false" ht="15" hidden="false" customHeight="false" outlineLevel="0" collapsed="false">
      <c r="A801" s="2" t="s">
        <v>70</v>
      </c>
      <c r="B801" s="2" t="n">
        <v>1</v>
      </c>
      <c r="C801" s="2" t="n">
        <v>55</v>
      </c>
      <c r="D801" s="2" t="n">
        <v>2</v>
      </c>
      <c r="E801" s="2" t="n">
        <v>40</v>
      </c>
      <c r="F801" s="2" t="n">
        <v>150</v>
      </c>
      <c r="G801" s="2" t="s">
        <v>37</v>
      </c>
      <c r="H801" s="6" t="str">
        <f aca="false">A801&amp;"_"&amp;B801</f>
        <v>retiro_1</v>
      </c>
      <c r="I801" s="6" t="str">
        <f aca="false">H801&amp;"_"&amp;C801&amp;"_"&amp;G801</f>
        <v>retiro_1_55_Tabebuia cassinoides</v>
      </c>
      <c r="J801" s="6" t="n">
        <f aca="false">IF(COUNTIF($I$2:I801,I801)=1,1,0)</f>
        <v>0</v>
      </c>
      <c r="K801" s="6" t="n">
        <f aca="false">E801*$Q$2</f>
        <v>4</v>
      </c>
      <c r="L801" s="7" t="n">
        <f aca="false">K801/PI()</f>
        <v>1.27323954473516</v>
      </c>
      <c r="M801" s="8" t="n">
        <f aca="false">PI()*L801^2/40000</f>
        <v>0.000127323954473516</v>
      </c>
      <c r="N801" s="7" t="n">
        <f aca="false">F801*$Q$3</f>
        <v>15</v>
      </c>
      <c r="O801" s="3"/>
      <c r="P801" s="3"/>
      <c r="Q801" s="3"/>
    </row>
    <row r="802" customFormat="false" ht="15" hidden="false" customHeight="false" outlineLevel="0" collapsed="false">
      <c r="A802" s="2" t="s">
        <v>70</v>
      </c>
      <c r="B802" s="2" t="n">
        <v>1</v>
      </c>
      <c r="C802" s="2" t="n">
        <v>55</v>
      </c>
      <c r="D802" s="2" t="n">
        <v>3</v>
      </c>
      <c r="E802" s="2" t="n">
        <v>40</v>
      </c>
      <c r="F802" s="2" t="n">
        <v>150</v>
      </c>
      <c r="G802" s="2" t="s">
        <v>37</v>
      </c>
      <c r="H802" s="6" t="str">
        <f aca="false">A802&amp;"_"&amp;B802</f>
        <v>retiro_1</v>
      </c>
      <c r="I802" s="6" t="str">
        <f aca="false">H802&amp;"_"&amp;C802&amp;"_"&amp;G802</f>
        <v>retiro_1_55_Tabebuia cassinoides</v>
      </c>
      <c r="J802" s="6" t="n">
        <f aca="false">IF(COUNTIF($I$2:I802,I802)=1,1,0)</f>
        <v>0</v>
      </c>
      <c r="K802" s="6" t="n">
        <f aca="false">E802*$Q$2</f>
        <v>4</v>
      </c>
      <c r="L802" s="7" t="n">
        <f aca="false">K802/PI()</f>
        <v>1.27323954473516</v>
      </c>
      <c r="M802" s="8" t="n">
        <f aca="false">PI()*L802^2/40000</f>
        <v>0.000127323954473516</v>
      </c>
      <c r="N802" s="7" t="n">
        <f aca="false">F802*$Q$3</f>
        <v>15</v>
      </c>
      <c r="O802" s="3"/>
      <c r="P802" s="3"/>
      <c r="Q802" s="3"/>
    </row>
    <row r="803" customFormat="false" ht="15" hidden="false" customHeight="false" outlineLevel="0" collapsed="false">
      <c r="A803" s="2" t="s">
        <v>70</v>
      </c>
      <c r="B803" s="2" t="n">
        <v>1</v>
      </c>
      <c r="C803" s="2" t="n">
        <v>55</v>
      </c>
      <c r="D803" s="2" t="n">
        <v>4</v>
      </c>
      <c r="E803" s="2" t="n">
        <v>80</v>
      </c>
      <c r="F803" s="2" t="n">
        <v>150</v>
      </c>
      <c r="G803" s="2" t="s">
        <v>37</v>
      </c>
      <c r="H803" s="6" t="str">
        <f aca="false">A803&amp;"_"&amp;B803</f>
        <v>retiro_1</v>
      </c>
      <c r="I803" s="6" t="str">
        <f aca="false">H803&amp;"_"&amp;C803&amp;"_"&amp;G803</f>
        <v>retiro_1_55_Tabebuia cassinoides</v>
      </c>
      <c r="J803" s="6" t="n">
        <f aca="false">IF(COUNTIF($I$2:I803,I803)=1,1,0)</f>
        <v>0</v>
      </c>
      <c r="K803" s="6" t="n">
        <f aca="false">E803*$Q$2</f>
        <v>8</v>
      </c>
      <c r="L803" s="7" t="n">
        <f aca="false">K803/PI()</f>
        <v>2.54647908947033</v>
      </c>
      <c r="M803" s="8" t="n">
        <f aca="false">PI()*L803^2/40000</f>
        <v>0.000509295817894065</v>
      </c>
      <c r="N803" s="7" t="n">
        <f aca="false">F803*$Q$3</f>
        <v>15</v>
      </c>
      <c r="O803" s="3"/>
      <c r="P803" s="3"/>
      <c r="Q803" s="3"/>
    </row>
    <row r="804" customFormat="false" ht="15" hidden="false" customHeight="false" outlineLevel="0" collapsed="false">
      <c r="A804" s="2" t="s">
        <v>70</v>
      </c>
      <c r="B804" s="2" t="n">
        <v>1</v>
      </c>
      <c r="C804" s="2" t="n">
        <v>55</v>
      </c>
      <c r="D804" s="2" t="n">
        <v>5</v>
      </c>
      <c r="E804" s="2" t="n">
        <v>110</v>
      </c>
      <c r="F804" s="2" t="n">
        <v>150</v>
      </c>
      <c r="G804" s="2" t="s">
        <v>37</v>
      </c>
      <c r="H804" s="6" t="str">
        <f aca="false">A804&amp;"_"&amp;B804</f>
        <v>retiro_1</v>
      </c>
      <c r="I804" s="6" t="str">
        <f aca="false">H804&amp;"_"&amp;C804&amp;"_"&amp;G804</f>
        <v>retiro_1_55_Tabebuia cassinoides</v>
      </c>
      <c r="J804" s="6" t="n">
        <f aca="false">IF(COUNTIF($I$2:I804,I804)=1,1,0)</f>
        <v>0</v>
      </c>
      <c r="K804" s="6" t="n">
        <f aca="false">E804*$Q$2</f>
        <v>11</v>
      </c>
      <c r="L804" s="7" t="n">
        <f aca="false">K804/PI()</f>
        <v>3.5014087480217</v>
      </c>
      <c r="M804" s="8" t="n">
        <f aca="false">PI()*L804^2/40000</f>
        <v>0.000962887405705967</v>
      </c>
      <c r="N804" s="7" t="n">
        <f aca="false">F804*$Q$3</f>
        <v>15</v>
      </c>
      <c r="O804" s="3"/>
      <c r="P804" s="3"/>
      <c r="Q804" s="3"/>
    </row>
    <row r="805" customFormat="false" ht="15" hidden="false" customHeight="false" outlineLevel="0" collapsed="false">
      <c r="A805" s="2" t="s">
        <v>70</v>
      </c>
      <c r="B805" s="2" t="n">
        <v>1</v>
      </c>
      <c r="C805" s="2" t="n">
        <v>56</v>
      </c>
      <c r="D805" s="2" t="n">
        <v>1</v>
      </c>
      <c r="E805" s="2" t="n">
        <v>240</v>
      </c>
      <c r="F805" s="2" t="n">
        <v>90</v>
      </c>
      <c r="G805" s="2" t="s">
        <v>37</v>
      </c>
      <c r="H805" s="6" t="str">
        <f aca="false">A805&amp;"_"&amp;B805</f>
        <v>retiro_1</v>
      </c>
      <c r="I805" s="6" t="str">
        <f aca="false">H805&amp;"_"&amp;C805&amp;"_"&amp;G805</f>
        <v>retiro_1_56_Tabebuia cassinoides</v>
      </c>
      <c r="J805" s="6" t="n">
        <f aca="false">IF(COUNTIF($I$2:I805,I805)=1,1,0)</f>
        <v>1</v>
      </c>
      <c r="K805" s="6" t="n">
        <f aca="false">E805*$Q$2</f>
        <v>24</v>
      </c>
      <c r="L805" s="7" t="n">
        <f aca="false">K805/PI()</f>
        <v>7.63943726841098</v>
      </c>
      <c r="M805" s="8" t="n">
        <f aca="false">PI()*L805^2/40000</f>
        <v>0.00458366236104659</v>
      </c>
      <c r="N805" s="7" t="n">
        <f aca="false">F805*$Q$3</f>
        <v>9</v>
      </c>
      <c r="O805" s="3"/>
      <c r="P805" s="3"/>
      <c r="Q805" s="3"/>
    </row>
    <row r="806" customFormat="false" ht="15" hidden="false" customHeight="false" outlineLevel="0" collapsed="false">
      <c r="A806" s="2" t="s">
        <v>70</v>
      </c>
      <c r="B806" s="2" t="n">
        <v>1</v>
      </c>
      <c r="C806" s="2" t="n">
        <v>56</v>
      </c>
      <c r="D806" s="2" t="n">
        <v>2</v>
      </c>
      <c r="E806" s="2" t="n">
        <v>100</v>
      </c>
      <c r="F806" s="2" t="n">
        <v>90</v>
      </c>
      <c r="G806" s="2" t="s">
        <v>37</v>
      </c>
      <c r="H806" s="6" t="str">
        <f aca="false">A806&amp;"_"&amp;B806</f>
        <v>retiro_1</v>
      </c>
      <c r="I806" s="6" t="str">
        <f aca="false">H806&amp;"_"&amp;C806&amp;"_"&amp;G806</f>
        <v>retiro_1_56_Tabebuia cassinoides</v>
      </c>
      <c r="J806" s="6" t="n">
        <f aca="false">IF(COUNTIF($I$2:I806,I806)=1,1,0)</f>
        <v>0</v>
      </c>
      <c r="K806" s="6" t="n">
        <f aca="false">E806*$Q$2</f>
        <v>10</v>
      </c>
      <c r="L806" s="7" t="n">
        <f aca="false">K806/PI()</f>
        <v>3.18309886183791</v>
      </c>
      <c r="M806" s="8" t="n">
        <f aca="false">PI()*L806^2/40000</f>
        <v>0.000795774715459477</v>
      </c>
      <c r="N806" s="7" t="n">
        <f aca="false">F806*$Q$3</f>
        <v>9</v>
      </c>
      <c r="O806" s="3"/>
      <c r="P806" s="3"/>
      <c r="Q806" s="3"/>
    </row>
    <row r="807" customFormat="false" ht="15" hidden="false" customHeight="false" outlineLevel="0" collapsed="false">
      <c r="A807" s="2" t="s">
        <v>70</v>
      </c>
      <c r="B807" s="2" t="n">
        <v>1</v>
      </c>
      <c r="C807" s="2" t="n">
        <v>56</v>
      </c>
      <c r="D807" s="2" t="n">
        <v>3</v>
      </c>
      <c r="E807" s="2" t="n">
        <v>160</v>
      </c>
      <c r="F807" s="2" t="n">
        <v>90</v>
      </c>
      <c r="G807" s="2" t="s">
        <v>37</v>
      </c>
      <c r="H807" s="6" t="str">
        <f aca="false">A807&amp;"_"&amp;B807</f>
        <v>retiro_1</v>
      </c>
      <c r="I807" s="6" t="str">
        <f aca="false">H807&amp;"_"&amp;C807&amp;"_"&amp;G807</f>
        <v>retiro_1_56_Tabebuia cassinoides</v>
      </c>
      <c r="J807" s="6" t="n">
        <f aca="false">IF(COUNTIF($I$2:I807,I807)=1,1,0)</f>
        <v>0</v>
      </c>
      <c r="K807" s="6" t="n">
        <f aca="false">E807*$Q$2</f>
        <v>16</v>
      </c>
      <c r="L807" s="7" t="n">
        <f aca="false">K807/PI()</f>
        <v>5.09295817894065</v>
      </c>
      <c r="M807" s="8" t="n">
        <f aca="false">PI()*L807^2/40000</f>
        <v>0.00203718327157626</v>
      </c>
      <c r="N807" s="7" t="n">
        <f aca="false">F807*$Q$3</f>
        <v>9</v>
      </c>
      <c r="O807" s="3"/>
      <c r="P807" s="3"/>
      <c r="Q807" s="3"/>
    </row>
    <row r="808" customFormat="false" ht="15" hidden="false" customHeight="false" outlineLevel="0" collapsed="false">
      <c r="A808" s="2" t="s">
        <v>70</v>
      </c>
      <c r="B808" s="2" t="n">
        <v>2</v>
      </c>
      <c r="C808" s="2" t="n">
        <v>57</v>
      </c>
      <c r="D808" s="2" t="n">
        <v>1</v>
      </c>
      <c r="E808" s="2" t="n">
        <v>780</v>
      </c>
      <c r="F808" s="2" t="n">
        <v>120</v>
      </c>
      <c r="G808" s="2" t="s">
        <v>37</v>
      </c>
      <c r="H808" s="6" t="str">
        <f aca="false">A808&amp;"_"&amp;B808</f>
        <v>retiro_2</v>
      </c>
      <c r="I808" s="6" t="str">
        <f aca="false">H808&amp;"_"&amp;C808&amp;"_"&amp;G808</f>
        <v>retiro_2_57_Tabebuia cassinoides</v>
      </c>
      <c r="J808" s="6" t="n">
        <f aca="false">IF(COUNTIF($I$2:I808,I808)=1,1,0)</f>
        <v>1</v>
      </c>
      <c r="K808" s="6" t="n">
        <f aca="false">E808*$Q$2</f>
        <v>78</v>
      </c>
      <c r="L808" s="7" t="n">
        <f aca="false">K808/PI()</f>
        <v>24.8281711223357</v>
      </c>
      <c r="M808" s="8" t="n">
        <f aca="false">PI()*L808^2/40000</f>
        <v>0.0484149336885546</v>
      </c>
      <c r="N808" s="7" t="n">
        <f aca="false">F808*$Q$3</f>
        <v>12</v>
      </c>
      <c r="O808" s="3"/>
      <c r="P808" s="3"/>
      <c r="Q808" s="3"/>
    </row>
    <row r="809" customFormat="false" ht="15" hidden="false" customHeight="false" outlineLevel="0" collapsed="false">
      <c r="A809" s="2" t="s">
        <v>70</v>
      </c>
      <c r="B809" s="2" t="n">
        <v>2</v>
      </c>
      <c r="C809" s="2" t="n">
        <v>58</v>
      </c>
      <c r="D809" s="2" t="n">
        <v>1</v>
      </c>
      <c r="E809" s="2" t="n">
        <v>220</v>
      </c>
      <c r="F809" s="2" t="n">
        <v>60</v>
      </c>
      <c r="G809" s="2" t="s">
        <v>37</v>
      </c>
      <c r="H809" s="6" t="str">
        <f aca="false">A809&amp;"_"&amp;B809</f>
        <v>retiro_2</v>
      </c>
      <c r="I809" s="6" t="str">
        <f aca="false">H809&amp;"_"&amp;C809&amp;"_"&amp;G809</f>
        <v>retiro_2_58_Tabebuia cassinoides</v>
      </c>
      <c r="J809" s="6" t="n">
        <f aca="false">IF(COUNTIF($I$2:I809,I809)=1,1,0)</f>
        <v>1</v>
      </c>
      <c r="K809" s="6" t="n">
        <f aca="false">E809*$Q$2</f>
        <v>22</v>
      </c>
      <c r="L809" s="7" t="n">
        <f aca="false">K809/PI()</f>
        <v>7.0028174960434</v>
      </c>
      <c r="M809" s="8" t="n">
        <f aca="false">PI()*L809^2/40000</f>
        <v>0.00385154962282387</v>
      </c>
      <c r="N809" s="7" t="n">
        <f aca="false">F809*$Q$3</f>
        <v>6</v>
      </c>
      <c r="O809" s="3"/>
      <c r="P809" s="3"/>
      <c r="Q809" s="3"/>
    </row>
    <row r="810" customFormat="false" ht="15" hidden="false" customHeight="false" outlineLevel="0" collapsed="false">
      <c r="A810" s="2" t="s">
        <v>70</v>
      </c>
      <c r="B810" s="2" t="n">
        <v>2</v>
      </c>
      <c r="C810" s="2" t="n">
        <v>58</v>
      </c>
      <c r="D810" s="2" t="n">
        <v>2</v>
      </c>
      <c r="E810" s="2" t="n">
        <v>180</v>
      </c>
      <c r="F810" s="2" t="n">
        <v>60</v>
      </c>
      <c r="G810" s="2" t="s">
        <v>37</v>
      </c>
      <c r="H810" s="6" t="str">
        <f aca="false">A810&amp;"_"&amp;B810</f>
        <v>retiro_2</v>
      </c>
      <c r="I810" s="6" t="str">
        <f aca="false">H810&amp;"_"&amp;C810&amp;"_"&amp;G810</f>
        <v>retiro_2_58_Tabebuia cassinoides</v>
      </c>
      <c r="J810" s="6" t="n">
        <f aca="false">IF(COUNTIF($I$2:I810,I810)=1,1,0)</f>
        <v>0</v>
      </c>
      <c r="K810" s="6" t="n">
        <f aca="false">E810*$Q$2</f>
        <v>18</v>
      </c>
      <c r="L810" s="7" t="n">
        <f aca="false">K810/PI()</f>
        <v>5.72957795130823</v>
      </c>
      <c r="M810" s="8" t="n">
        <f aca="false">PI()*L810^2/40000</f>
        <v>0.0025783100780887</v>
      </c>
      <c r="N810" s="7" t="n">
        <f aca="false">F810*$Q$3</f>
        <v>6</v>
      </c>
      <c r="O810" s="3"/>
      <c r="P810" s="3"/>
      <c r="Q810" s="3"/>
    </row>
    <row r="811" customFormat="false" ht="15" hidden="false" customHeight="false" outlineLevel="0" collapsed="false">
      <c r="A811" s="2" t="s">
        <v>70</v>
      </c>
      <c r="B811" s="2" t="n">
        <v>2</v>
      </c>
      <c r="C811" s="2" t="n">
        <v>58</v>
      </c>
      <c r="D811" s="2" t="n">
        <v>3</v>
      </c>
      <c r="E811" s="2" t="n">
        <v>30</v>
      </c>
      <c r="F811" s="2" t="n">
        <v>60</v>
      </c>
      <c r="G811" s="2" t="s">
        <v>37</v>
      </c>
      <c r="H811" s="6" t="str">
        <f aca="false">A811&amp;"_"&amp;B811</f>
        <v>retiro_2</v>
      </c>
      <c r="I811" s="6" t="str">
        <f aca="false">H811&amp;"_"&amp;C811&amp;"_"&amp;G811</f>
        <v>retiro_2_58_Tabebuia cassinoides</v>
      </c>
      <c r="J811" s="6" t="n">
        <f aca="false">IF(COUNTIF($I$2:I811,I811)=1,1,0)</f>
        <v>0</v>
      </c>
      <c r="K811" s="6" t="n">
        <f aca="false">E811*$Q$2</f>
        <v>3</v>
      </c>
      <c r="L811" s="7" t="n">
        <f aca="false">K811/PI()</f>
        <v>0.954929658551372</v>
      </c>
      <c r="M811" s="8" t="n">
        <f aca="false">PI()*L811^2/40000</f>
        <v>7.16197243913529E-005</v>
      </c>
      <c r="N811" s="7" t="n">
        <f aca="false">F811*$Q$3</f>
        <v>6</v>
      </c>
      <c r="O811" s="3"/>
      <c r="P811" s="3"/>
      <c r="Q811" s="3"/>
    </row>
    <row r="812" customFormat="false" ht="15" hidden="false" customHeight="false" outlineLevel="0" collapsed="false">
      <c r="A812" s="2" t="s">
        <v>70</v>
      </c>
      <c r="B812" s="2" t="n">
        <v>2</v>
      </c>
      <c r="C812" s="2" t="n">
        <v>58</v>
      </c>
      <c r="D812" s="2" t="n">
        <v>4</v>
      </c>
      <c r="E812" s="2" t="n">
        <v>60</v>
      </c>
      <c r="F812" s="2" t="n">
        <v>60</v>
      </c>
      <c r="G812" s="2" t="s">
        <v>37</v>
      </c>
      <c r="H812" s="6" t="str">
        <f aca="false">A812&amp;"_"&amp;B812</f>
        <v>retiro_2</v>
      </c>
      <c r="I812" s="6" t="str">
        <f aca="false">H812&amp;"_"&amp;C812&amp;"_"&amp;G812</f>
        <v>retiro_2_58_Tabebuia cassinoides</v>
      </c>
      <c r="J812" s="6" t="n">
        <f aca="false">IF(COUNTIF($I$2:I812,I812)=1,1,0)</f>
        <v>0</v>
      </c>
      <c r="K812" s="6" t="n">
        <f aca="false">E812*$Q$2</f>
        <v>6</v>
      </c>
      <c r="L812" s="7" t="n">
        <f aca="false">K812/PI()</f>
        <v>1.90985931710274</v>
      </c>
      <c r="M812" s="8" t="n">
        <f aca="false">PI()*L812^2/40000</f>
        <v>0.000286478897565412</v>
      </c>
      <c r="N812" s="7" t="n">
        <f aca="false">F812*$Q$3</f>
        <v>6</v>
      </c>
      <c r="O812" s="3"/>
      <c r="P812" s="3"/>
      <c r="Q812" s="3"/>
    </row>
    <row r="813" customFormat="false" ht="15" hidden="false" customHeight="false" outlineLevel="0" collapsed="false">
      <c r="A813" s="2" t="s">
        <v>70</v>
      </c>
      <c r="B813" s="2" t="n">
        <v>2</v>
      </c>
      <c r="C813" s="2" t="n">
        <v>58</v>
      </c>
      <c r="D813" s="2" t="n">
        <v>5</v>
      </c>
      <c r="E813" s="2" t="n">
        <v>50</v>
      </c>
      <c r="F813" s="2" t="n">
        <v>60</v>
      </c>
      <c r="G813" s="2" t="s">
        <v>37</v>
      </c>
      <c r="H813" s="6" t="str">
        <f aca="false">A813&amp;"_"&amp;B813</f>
        <v>retiro_2</v>
      </c>
      <c r="I813" s="6" t="str">
        <f aca="false">H813&amp;"_"&amp;C813&amp;"_"&amp;G813</f>
        <v>retiro_2_58_Tabebuia cassinoides</v>
      </c>
      <c r="J813" s="6" t="n">
        <f aca="false">IF(COUNTIF($I$2:I813,I813)=1,1,0)</f>
        <v>0</v>
      </c>
      <c r="K813" s="6" t="n">
        <f aca="false">E813*$Q$2</f>
        <v>5</v>
      </c>
      <c r="L813" s="7" t="n">
        <f aca="false">K813/PI()</f>
        <v>1.59154943091895</v>
      </c>
      <c r="M813" s="8" t="n">
        <f aca="false">PI()*L813^2/40000</f>
        <v>0.000198943678864869</v>
      </c>
      <c r="N813" s="7" t="n">
        <f aca="false">F813*$Q$3</f>
        <v>6</v>
      </c>
      <c r="O813" s="3"/>
      <c r="P813" s="3"/>
      <c r="Q813" s="3"/>
    </row>
    <row r="814" customFormat="false" ht="15" hidden="false" customHeight="false" outlineLevel="0" collapsed="false">
      <c r="A814" s="2" t="s">
        <v>70</v>
      </c>
      <c r="B814" s="2" t="n">
        <v>2</v>
      </c>
      <c r="C814" s="2" t="n">
        <v>58</v>
      </c>
      <c r="D814" s="2" t="n">
        <v>6</v>
      </c>
      <c r="E814" s="2" t="n">
        <v>40</v>
      </c>
      <c r="F814" s="2" t="n">
        <v>60</v>
      </c>
      <c r="G814" s="2" t="s">
        <v>37</v>
      </c>
      <c r="H814" s="6" t="str">
        <f aca="false">A814&amp;"_"&amp;B814</f>
        <v>retiro_2</v>
      </c>
      <c r="I814" s="6" t="str">
        <f aca="false">H814&amp;"_"&amp;C814&amp;"_"&amp;G814</f>
        <v>retiro_2_58_Tabebuia cassinoides</v>
      </c>
      <c r="J814" s="6" t="n">
        <f aca="false">IF(COUNTIF($I$2:I814,I814)=1,1,0)</f>
        <v>0</v>
      </c>
      <c r="K814" s="6" t="n">
        <f aca="false">E814*$Q$2</f>
        <v>4</v>
      </c>
      <c r="L814" s="7" t="n">
        <f aca="false">K814/PI()</f>
        <v>1.27323954473516</v>
      </c>
      <c r="M814" s="8" t="n">
        <f aca="false">PI()*L814^2/40000</f>
        <v>0.000127323954473516</v>
      </c>
      <c r="N814" s="7" t="n">
        <f aca="false">F814*$Q$3</f>
        <v>6</v>
      </c>
      <c r="O814" s="3"/>
      <c r="P814" s="3"/>
      <c r="Q814" s="3"/>
    </row>
    <row r="815" customFormat="false" ht="15" hidden="false" customHeight="false" outlineLevel="0" collapsed="false">
      <c r="A815" s="2" t="s">
        <v>70</v>
      </c>
      <c r="B815" s="2" t="n">
        <v>2</v>
      </c>
      <c r="C815" s="2" t="n">
        <v>58</v>
      </c>
      <c r="D815" s="2" t="n">
        <v>7</v>
      </c>
      <c r="E815" s="2" t="n">
        <v>50</v>
      </c>
      <c r="F815" s="2" t="n">
        <v>60</v>
      </c>
      <c r="G815" s="2" t="s">
        <v>37</v>
      </c>
      <c r="H815" s="6" t="str">
        <f aca="false">A815&amp;"_"&amp;B815</f>
        <v>retiro_2</v>
      </c>
      <c r="I815" s="6" t="str">
        <f aca="false">H815&amp;"_"&amp;C815&amp;"_"&amp;G815</f>
        <v>retiro_2_58_Tabebuia cassinoides</v>
      </c>
      <c r="J815" s="6" t="n">
        <f aca="false">IF(COUNTIF($I$2:I815,I815)=1,1,0)</f>
        <v>0</v>
      </c>
      <c r="K815" s="6" t="n">
        <f aca="false">E815*$Q$2</f>
        <v>5</v>
      </c>
      <c r="L815" s="7" t="n">
        <f aca="false">K815/PI()</f>
        <v>1.59154943091895</v>
      </c>
      <c r="M815" s="8" t="n">
        <f aca="false">PI()*L815^2/40000</f>
        <v>0.000198943678864869</v>
      </c>
      <c r="N815" s="7" t="n">
        <f aca="false">F815*$Q$3</f>
        <v>6</v>
      </c>
      <c r="O815" s="3"/>
      <c r="P815" s="3"/>
      <c r="Q815" s="3"/>
    </row>
    <row r="816" customFormat="false" ht="15" hidden="false" customHeight="false" outlineLevel="0" collapsed="false">
      <c r="A816" s="2" t="s">
        <v>70</v>
      </c>
      <c r="B816" s="2" t="n">
        <v>2</v>
      </c>
      <c r="C816" s="2" t="n">
        <v>58</v>
      </c>
      <c r="D816" s="2" t="n">
        <v>8</v>
      </c>
      <c r="E816" s="2" t="n">
        <v>40</v>
      </c>
      <c r="F816" s="2" t="n">
        <v>60</v>
      </c>
      <c r="G816" s="2" t="s">
        <v>37</v>
      </c>
      <c r="H816" s="6" t="str">
        <f aca="false">A816&amp;"_"&amp;B816</f>
        <v>retiro_2</v>
      </c>
      <c r="I816" s="6" t="str">
        <f aca="false">H816&amp;"_"&amp;C816&amp;"_"&amp;G816</f>
        <v>retiro_2_58_Tabebuia cassinoides</v>
      </c>
      <c r="J816" s="6" t="n">
        <f aca="false">IF(COUNTIF($I$2:I816,I816)=1,1,0)</f>
        <v>0</v>
      </c>
      <c r="K816" s="6" t="n">
        <f aca="false">E816*$Q$2</f>
        <v>4</v>
      </c>
      <c r="L816" s="7" t="n">
        <f aca="false">K816/PI()</f>
        <v>1.27323954473516</v>
      </c>
      <c r="M816" s="8" t="n">
        <f aca="false">PI()*L816^2/40000</f>
        <v>0.000127323954473516</v>
      </c>
      <c r="N816" s="7" t="n">
        <f aca="false">F816*$Q$3</f>
        <v>6</v>
      </c>
      <c r="O816" s="3"/>
      <c r="P816" s="3"/>
      <c r="Q816" s="3"/>
    </row>
    <row r="817" customFormat="false" ht="15" hidden="false" customHeight="false" outlineLevel="0" collapsed="false">
      <c r="A817" s="2" t="s">
        <v>70</v>
      </c>
      <c r="B817" s="2" t="n">
        <v>2</v>
      </c>
      <c r="C817" s="2" t="n">
        <v>59</v>
      </c>
      <c r="D817" s="2" t="n">
        <v>1</v>
      </c>
      <c r="E817" s="2" t="n">
        <v>220</v>
      </c>
      <c r="F817" s="2" t="n">
        <v>50</v>
      </c>
      <c r="G817" s="2" t="s">
        <v>71</v>
      </c>
      <c r="H817" s="6" t="str">
        <f aca="false">A817&amp;"_"&amp;B817</f>
        <v>retiro_2</v>
      </c>
      <c r="I817" s="6" t="str">
        <f aca="false">H817&amp;"_"&amp;C817&amp;"_"&amp;G817</f>
        <v>retiro_2_59_Mela 1</v>
      </c>
      <c r="J817" s="6" t="n">
        <f aca="false">IF(COUNTIF($I$2:I817,I817)=1,1,0)</f>
        <v>1</v>
      </c>
      <c r="K817" s="6" t="n">
        <f aca="false">E817*$Q$2</f>
        <v>22</v>
      </c>
      <c r="L817" s="7" t="n">
        <f aca="false">K817/PI()</f>
        <v>7.0028174960434</v>
      </c>
      <c r="M817" s="8" t="n">
        <f aca="false">PI()*L817^2/40000</f>
        <v>0.00385154962282387</v>
      </c>
      <c r="N817" s="7" t="n">
        <f aca="false">F817*$Q$3</f>
        <v>5</v>
      </c>
      <c r="O817" s="3"/>
      <c r="P817" s="3"/>
      <c r="Q817" s="3"/>
    </row>
    <row r="818" customFormat="false" ht="15" hidden="false" customHeight="false" outlineLevel="0" collapsed="false">
      <c r="A818" s="2" t="s">
        <v>70</v>
      </c>
      <c r="B818" s="2" t="n">
        <v>2</v>
      </c>
      <c r="C818" s="2" t="n">
        <v>60</v>
      </c>
      <c r="D818" s="2" t="n">
        <v>1</v>
      </c>
      <c r="E818" s="2" t="n">
        <v>340</v>
      </c>
      <c r="F818" s="2" t="n">
        <v>90</v>
      </c>
      <c r="G818" s="2" t="s">
        <v>37</v>
      </c>
      <c r="H818" s="6" t="str">
        <f aca="false">A818&amp;"_"&amp;B818</f>
        <v>retiro_2</v>
      </c>
      <c r="I818" s="6" t="str">
        <f aca="false">H818&amp;"_"&amp;C818&amp;"_"&amp;G818</f>
        <v>retiro_2_60_Tabebuia cassinoides</v>
      </c>
      <c r="J818" s="6" t="n">
        <f aca="false">IF(COUNTIF($I$2:I818,I818)=1,1,0)</f>
        <v>1</v>
      </c>
      <c r="K818" s="6" t="n">
        <f aca="false">E818*$Q$2</f>
        <v>34</v>
      </c>
      <c r="L818" s="7" t="n">
        <f aca="false">K818/PI()</f>
        <v>10.8225361302489</v>
      </c>
      <c r="M818" s="8" t="n">
        <f aca="false">PI()*L818^2/40000</f>
        <v>0.00919915571071155</v>
      </c>
      <c r="N818" s="7" t="n">
        <f aca="false">F818*$Q$3</f>
        <v>9</v>
      </c>
      <c r="O818" s="3"/>
      <c r="P818" s="3"/>
      <c r="Q818" s="3"/>
    </row>
    <row r="819" customFormat="false" ht="15" hidden="false" customHeight="false" outlineLevel="0" collapsed="false">
      <c r="A819" s="2" t="s">
        <v>70</v>
      </c>
      <c r="B819" s="2" t="n">
        <v>2</v>
      </c>
      <c r="C819" s="2" t="n">
        <v>60</v>
      </c>
      <c r="D819" s="2" t="n">
        <v>2</v>
      </c>
      <c r="E819" s="2" t="n">
        <v>110</v>
      </c>
      <c r="F819" s="2" t="n">
        <v>90</v>
      </c>
      <c r="G819" s="2" t="s">
        <v>37</v>
      </c>
      <c r="H819" s="6" t="str">
        <f aca="false">A819&amp;"_"&amp;B819</f>
        <v>retiro_2</v>
      </c>
      <c r="I819" s="6" t="str">
        <f aca="false">H819&amp;"_"&amp;C819&amp;"_"&amp;G819</f>
        <v>retiro_2_60_Tabebuia cassinoides</v>
      </c>
      <c r="J819" s="6" t="n">
        <f aca="false">IF(COUNTIF($I$2:I819,I819)=1,1,0)</f>
        <v>0</v>
      </c>
      <c r="K819" s="6" t="n">
        <f aca="false">E819*$Q$2</f>
        <v>11</v>
      </c>
      <c r="L819" s="7" t="n">
        <f aca="false">K819/PI()</f>
        <v>3.5014087480217</v>
      </c>
      <c r="M819" s="8" t="n">
        <f aca="false">PI()*L819^2/40000</f>
        <v>0.000962887405705967</v>
      </c>
      <c r="N819" s="7" t="n">
        <f aca="false">F819*$Q$3</f>
        <v>9</v>
      </c>
      <c r="O819" s="3"/>
      <c r="P819" s="3"/>
      <c r="Q819" s="3"/>
    </row>
    <row r="820" customFormat="false" ht="15" hidden="false" customHeight="false" outlineLevel="0" collapsed="false">
      <c r="A820" s="2" t="s">
        <v>70</v>
      </c>
      <c r="B820" s="2" t="n">
        <v>2</v>
      </c>
      <c r="C820" s="2" t="n">
        <v>61</v>
      </c>
      <c r="D820" s="2" t="n">
        <v>1</v>
      </c>
      <c r="E820" s="2" t="n">
        <v>410</v>
      </c>
      <c r="F820" s="2" t="n">
        <v>100</v>
      </c>
      <c r="G820" s="2" t="s">
        <v>37</v>
      </c>
      <c r="H820" s="6" t="str">
        <f aca="false">A820&amp;"_"&amp;B820</f>
        <v>retiro_2</v>
      </c>
      <c r="I820" s="6" t="str">
        <f aca="false">H820&amp;"_"&amp;C820&amp;"_"&amp;G820</f>
        <v>retiro_2_61_Tabebuia cassinoides</v>
      </c>
      <c r="J820" s="6" t="n">
        <f aca="false">IF(COUNTIF($I$2:I820,I820)=1,1,0)</f>
        <v>1</v>
      </c>
      <c r="K820" s="6" t="n">
        <f aca="false">E820*$Q$2</f>
        <v>41</v>
      </c>
      <c r="L820" s="7" t="n">
        <f aca="false">K820/PI()</f>
        <v>13.0507053335354</v>
      </c>
      <c r="M820" s="8" t="n">
        <f aca="false">PI()*L820^2/40000</f>
        <v>0.0133769729668738</v>
      </c>
      <c r="N820" s="7" t="n">
        <f aca="false">F820*$Q$3</f>
        <v>10</v>
      </c>
      <c r="O820" s="3"/>
      <c r="P820" s="3"/>
      <c r="Q820" s="3"/>
    </row>
    <row r="821" customFormat="false" ht="15" hidden="false" customHeight="false" outlineLevel="0" collapsed="false">
      <c r="A821" s="2" t="s">
        <v>70</v>
      </c>
      <c r="B821" s="2" t="n">
        <v>2</v>
      </c>
      <c r="C821" s="2" t="n">
        <v>61</v>
      </c>
      <c r="D821" s="2" t="n">
        <v>2</v>
      </c>
      <c r="E821" s="2" t="n">
        <v>440</v>
      </c>
      <c r="F821" s="2" t="n">
        <v>100</v>
      </c>
      <c r="G821" s="2" t="s">
        <v>37</v>
      </c>
      <c r="H821" s="6" t="str">
        <f aca="false">A821&amp;"_"&amp;B821</f>
        <v>retiro_2</v>
      </c>
      <c r="I821" s="6" t="str">
        <f aca="false">H821&amp;"_"&amp;C821&amp;"_"&amp;G821</f>
        <v>retiro_2_61_Tabebuia cassinoides</v>
      </c>
      <c r="J821" s="6" t="n">
        <f aca="false">IF(COUNTIF($I$2:I821,I821)=1,1,0)</f>
        <v>0</v>
      </c>
      <c r="K821" s="6" t="n">
        <f aca="false">E821*$Q$2</f>
        <v>44</v>
      </c>
      <c r="L821" s="7" t="n">
        <f aca="false">K821/PI()</f>
        <v>14.0056349920868</v>
      </c>
      <c r="M821" s="8" t="n">
        <f aca="false">PI()*L821^2/40000</f>
        <v>0.0154061984912955</v>
      </c>
      <c r="N821" s="7" t="n">
        <f aca="false">F821*$Q$3</f>
        <v>10</v>
      </c>
      <c r="O821" s="3"/>
      <c r="P821" s="3"/>
      <c r="Q821" s="3"/>
    </row>
    <row r="822" customFormat="false" ht="15" hidden="false" customHeight="false" outlineLevel="0" collapsed="false">
      <c r="A822" s="2" t="s">
        <v>70</v>
      </c>
      <c r="B822" s="2" t="n">
        <v>2</v>
      </c>
      <c r="C822" s="2" t="n">
        <v>61</v>
      </c>
      <c r="D822" s="2" t="n">
        <v>3</v>
      </c>
      <c r="E822" s="2" t="n">
        <v>360</v>
      </c>
      <c r="F822" s="2" t="n">
        <v>100</v>
      </c>
      <c r="G822" s="2" t="s">
        <v>37</v>
      </c>
      <c r="H822" s="6" t="str">
        <f aca="false">A822&amp;"_"&amp;B822</f>
        <v>retiro_2</v>
      </c>
      <c r="I822" s="6" t="str">
        <f aca="false">H822&amp;"_"&amp;C822&amp;"_"&amp;G822</f>
        <v>retiro_2_61_Tabebuia cassinoides</v>
      </c>
      <c r="J822" s="6" t="n">
        <f aca="false">IF(COUNTIF($I$2:I822,I822)=1,1,0)</f>
        <v>0</v>
      </c>
      <c r="K822" s="6" t="n">
        <f aca="false">E822*$Q$2</f>
        <v>36</v>
      </c>
      <c r="L822" s="7" t="n">
        <f aca="false">K822/PI()</f>
        <v>11.4591559026165</v>
      </c>
      <c r="M822" s="8" t="n">
        <f aca="false">PI()*L822^2/40000</f>
        <v>0.0103132403123548</v>
      </c>
      <c r="N822" s="7" t="n">
        <f aca="false">F822*$Q$3</f>
        <v>10</v>
      </c>
      <c r="O822" s="3"/>
      <c r="P822" s="3"/>
      <c r="Q822" s="3"/>
    </row>
    <row r="823" customFormat="false" ht="15" hidden="false" customHeight="false" outlineLevel="0" collapsed="false">
      <c r="A823" s="2" t="s">
        <v>70</v>
      </c>
      <c r="B823" s="2" t="n">
        <v>2</v>
      </c>
      <c r="C823" s="2" t="n">
        <v>62</v>
      </c>
      <c r="D823" s="2" t="n">
        <v>1</v>
      </c>
      <c r="E823" s="2" t="n">
        <v>430</v>
      </c>
      <c r="F823" s="2" t="n">
        <v>100</v>
      </c>
      <c r="G823" s="2" t="s">
        <v>37</v>
      </c>
      <c r="H823" s="6" t="str">
        <f aca="false">A823&amp;"_"&amp;B823</f>
        <v>retiro_2</v>
      </c>
      <c r="I823" s="6" t="str">
        <f aca="false">H823&amp;"_"&amp;C823&amp;"_"&amp;G823</f>
        <v>retiro_2_62_Tabebuia cassinoides</v>
      </c>
      <c r="J823" s="6" t="n">
        <f aca="false">IF(COUNTIF($I$2:I823,I823)=1,1,0)</f>
        <v>1</v>
      </c>
      <c r="K823" s="6" t="n">
        <f aca="false">E823*$Q$2</f>
        <v>43</v>
      </c>
      <c r="L823" s="7" t="n">
        <f aca="false">K823/PI()</f>
        <v>13.687325105903</v>
      </c>
      <c r="M823" s="8" t="n">
        <f aca="false">PI()*L823^2/40000</f>
        <v>0.0147138744888457</v>
      </c>
      <c r="N823" s="7" t="n">
        <f aca="false">F823*$Q$3</f>
        <v>10</v>
      </c>
      <c r="O823" s="3"/>
      <c r="P823" s="3"/>
      <c r="Q823" s="3"/>
    </row>
    <row r="824" customFormat="false" ht="15" hidden="false" customHeight="false" outlineLevel="0" collapsed="false">
      <c r="A824" s="2" t="s">
        <v>70</v>
      </c>
      <c r="B824" s="2" t="n">
        <v>2</v>
      </c>
      <c r="C824" s="2" t="n">
        <v>63</v>
      </c>
      <c r="D824" s="2" t="n">
        <v>1</v>
      </c>
      <c r="E824" s="2" t="n">
        <v>390</v>
      </c>
      <c r="F824" s="2" t="n">
        <v>60</v>
      </c>
      <c r="G824" s="2" t="s">
        <v>71</v>
      </c>
      <c r="H824" s="6" t="str">
        <f aca="false">A824&amp;"_"&amp;B824</f>
        <v>retiro_2</v>
      </c>
      <c r="I824" s="6" t="str">
        <f aca="false">H824&amp;"_"&amp;C824&amp;"_"&amp;G824</f>
        <v>retiro_2_63_Mela 1</v>
      </c>
      <c r="J824" s="6" t="n">
        <f aca="false">IF(COUNTIF($I$2:I824,I824)=1,1,0)</f>
        <v>1</v>
      </c>
      <c r="K824" s="6" t="n">
        <f aca="false">E824*$Q$2</f>
        <v>39</v>
      </c>
      <c r="L824" s="7" t="n">
        <f aca="false">K824/PI()</f>
        <v>12.4140855611678</v>
      </c>
      <c r="M824" s="8" t="n">
        <f aca="false">PI()*L824^2/40000</f>
        <v>0.0121037334221386</v>
      </c>
      <c r="N824" s="7" t="n">
        <f aca="false">F824*$Q$3</f>
        <v>6</v>
      </c>
      <c r="O824" s="3"/>
      <c r="P824" s="3"/>
      <c r="Q824" s="3"/>
    </row>
    <row r="825" customFormat="false" ht="15" hidden="false" customHeight="false" outlineLevel="0" collapsed="false">
      <c r="A825" s="2" t="s">
        <v>70</v>
      </c>
      <c r="B825" s="2" t="n">
        <v>2</v>
      </c>
      <c r="C825" s="2" t="n">
        <v>63</v>
      </c>
      <c r="D825" s="2" t="n">
        <v>2</v>
      </c>
      <c r="E825" s="2" t="n">
        <v>280</v>
      </c>
      <c r="F825" s="2" t="n">
        <v>60</v>
      </c>
      <c r="G825" s="2" t="s">
        <v>71</v>
      </c>
      <c r="H825" s="6" t="str">
        <f aca="false">A825&amp;"_"&amp;B825</f>
        <v>retiro_2</v>
      </c>
      <c r="I825" s="6" t="str">
        <f aca="false">H825&amp;"_"&amp;C825&amp;"_"&amp;G825</f>
        <v>retiro_2_63_Mela 1</v>
      </c>
      <c r="J825" s="6" t="n">
        <f aca="false">IF(COUNTIF($I$2:I825,I825)=1,1,0)</f>
        <v>0</v>
      </c>
      <c r="K825" s="6" t="n">
        <f aca="false">E825*$Q$2</f>
        <v>28</v>
      </c>
      <c r="L825" s="7" t="n">
        <f aca="false">K825/PI()</f>
        <v>8.91267681314614</v>
      </c>
      <c r="M825" s="8" t="n">
        <f aca="false">PI()*L825^2/40000</f>
        <v>0.0062388737692023</v>
      </c>
      <c r="N825" s="7" t="n">
        <f aca="false">F825*$Q$3</f>
        <v>6</v>
      </c>
      <c r="O825" s="3"/>
      <c r="P825" s="3"/>
      <c r="Q825" s="3"/>
    </row>
    <row r="826" customFormat="false" ht="15" hidden="false" customHeight="false" outlineLevel="0" collapsed="false">
      <c r="A826" s="2" t="s">
        <v>70</v>
      </c>
      <c r="B826" s="2" t="n">
        <v>2</v>
      </c>
      <c r="C826" s="2" t="n">
        <v>63</v>
      </c>
      <c r="D826" s="2" t="n">
        <v>3</v>
      </c>
      <c r="E826" s="2" t="n">
        <v>60</v>
      </c>
      <c r="F826" s="2" t="n">
        <v>60</v>
      </c>
      <c r="G826" s="2" t="s">
        <v>71</v>
      </c>
      <c r="H826" s="6" t="str">
        <f aca="false">A826&amp;"_"&amp;B826</f>
        <v>retiro_2</v>
      </c>
      <c r="I826" s="6" t="str">
        <f aca="false">H826&amp;"_"&amp;C826&amp;"_"&amp;G826</f>
        <v>retiro_2_63_Mela 1</v>
      </c>
      <c r="J826" s="6" t="n">
        <f aca="false">IF(COUNTIF($I$2:I826,I826)=1,1,0)</f>
        <v>0</v>
      </c>
      <c r="K826" s="6" t="n">
        <f aca="false">E826*$Q$2</f>
        <v>6</v>
      </c>
      <c r="L826" s="7" t="n">
        <f aca="false">K826/PI()</f>
        <v>1.90985931710274</v>
      </c>
      <c r="M826" s="8" t="n">
        <f aca="false">PI()*L826^2/40000</f>
        <v>0.000286478897565412</v>
      </c>
      <c r="N826" s="7" t="n">
        <f aca="false">F826*$Q$3</f>
        <v>6</v>
      </c>
      <c r="O826" s="3"/>
      <c r="P826" s="3"/>
      <c r="Q826" s="3"/>
    </row>
    <row r="827" customFormat="false" ht="15" hidden="false" customHeight="false" outlineLevel="0" collapsed="false">
      <c r="A827" s="2" t="s">
        <v>70</v>
      </c>
      <c r="B827" s="2" t="n">
        <v>2</v>
      </c>
      <c r="C827" s="2" t="n">
        <v>63</v>
      </c>
      <c r="D827" s="2" t="n">
        <v>4</v>
      </c>
      <c r="E827" s="2" t="n">
        <v>90</v>
      </c>
      <c r="F827" s="2" t="n">
        <v>60</v>
      </c>
      <c r="G827" s="2" t="s">
        <v>71</v>
      </c>
      <c r="H827" s="6" t="str">
        <f aca="false">A827&amp;"_"&amp;B827</f>
        <v>retiro_2</v>
      </c>
      <c r="I827" s="6" t="str">
        <f aca="false">H827&amp;"_"&amp;C827&amp;"_"&amp;G827</f>
        <v>retiro_2_63_Mela 1</v>
      </c>
      <c r="J827" s="6" t="n">
        <f aca="false">IF(COUNTIF($I$2:I827,I827)=1,1,0)</f>
        <v>0</v>
      </c>
      <c r="K827" s="6" t="n">
        <f aca="false">E827*$Q$2</f>
        <v>9</v>
      </c>
      <c r="L827" s="7" t="n">
        <f aca="false">K827/PI()</f>
        <v>2.86478897565412</v>
      </c>
      <c r="M827" s="8" t="n">
        <f aca="false">PI()*L827^2/40000</f>
        <v>0.000644577519522176</v>
      </c>
      <c r="N827" s="7" t="n">
        <f aca="false">F827*$Q$3</f>
        <v>6</v>
      </c>
      <c r="O827" s="3"/>
      <c r="P827" s="3"/>
      <c r="Q827" s="3"/>
    </row>
    <row r="828" customFormat="false" ht="15" hidden="false" customHeight="false" outlineLevel="0" collapsed="false">
      <c r="A828" s="2" t="s">
        <v>70</v>
      </c>
      <c r="B828" s="2" t="n">
        <v>2</v>
      </c>
      <c r="C828" s="2" t="n">
        <v>63</v>
      </c>
      <c r="D828" s="2" t="n">
        <v>5</v>
      </c>
      <c r="E828" s="2" t="n">
        <v>100</v>
      </c>
      <c r="F828" s="2" t="n">
        <v>60</v>
      </c>
      <c r="G828" s="2" t="s">
        <v>71</v>
      </c>
      <c r="H828" s="6" t="str">
        <f aca="false">A828&amp;"_"&amp;B828</f>
        <v>retiro_2</v>
      </c>
      <c r="I828" s="6" t="str">
        <f aca="false">H828&amp;"_"&amp;C828&amp;"_"&amp;G828</f>
        <v>retiro_2_63_Mela 1</v>
      </c>
      <c r="J828" s="6" t="n">
        <f aca="false">IF(COUNTIF($I$2:I828,I828)=1,1,0)</f>
        <v>0</v>
      </c>
      <c r="K828" s="6" t="n">
        <f aca="false">E828*$Q$2</f>
        <v>10</v>
      </c>
      <c r="L828" s="7" t="n">
        <f aca="false">K828/PI()</f>
        <v>3.18309886183791</v>
      </c>
      <c r="M828" s="8" t="n">
        <f aca="false">PI()*L828^2/40000</f>
        <v>0.000795774715459477</v>
      </c>
      <c r="N828" s="7" t="n">
        <f aca="false">F828*$Q$3</f>
        <v>6</v>
      </c>
      <c r="O828" s="3"/>
      <c r="P828" s="3"/>
      <c r="Q828" s="3"/>
    </row>
    <row r="829" customFormat="false" ht="15" hidden="false" customHeight="false" outlineLevel="0" collapsed="false">
      <c r="A829" s="2" t="s">
        <v>70</v>
      </c>
      <c r="B829" s="2" t="n">
        <v>2</v>
      </c>
      <c r="C829" s="2" t="n">
        <v>64</v>
      </c>
      <c r="D829" s="2" t="n">
        <v>1</v>
      </c>
      <c r="E829" s="2" t="n">
        <v>510</v>
      </c>
      <c r="F829" s="2" t="n">
        <v>110</v>
      </c>
      <c r="G829" s="2" t="s">
        <v>45</v>
      </c>
      <c r="H829" s="6" t="str">
        <f aca="false">A829&amp;"_"&amp;B829</f>
        <v>retiro_2</v>
      </c>
      <c r="I829" s="6" t="str">
        <f aca="false">H829&amp;"_"&amp;C829&amp;"_"&amp;G829</f>
        <v>retiro_2_64_Coussapoa micropoda</v>
      </c>
      <c r="J829" s="6" t="n">
        <f aca="false">IF(COUNTIF($I$2:I829,I829)=1,1,0)</f>
        <v>1</v>
      </c>
      <c r="K829" s="6" t="n">
        <f aca="false">E829*$Q$2</f>
        <v>51</v>
      </c>
      <c r="L829" s="7" t="n">
        <f aca="false">K829/PI()</f>
        <v>16.2338041953733</v>
      </c>
      <c r="M829" s="8" t="n">
        <f aca="false">PI()*L829^2/40000</f>
        <v>0.020698100349101</v>
      </c>
      <c r="N829" s="7" t="n">
        <f aca="false">F829*$Q$3</f>
        <v>11</v>
      </c>
      <c r="O829" s="3"/>
      <c r="P829" s="3"/>
      <c r="Q829" s="3"/>
    </row>
    <row r="830" customFormat="false" ht="15" hidden="false" customHeight="false" outlineLevel="0" collapsed="false">
      <c r="A830" s="2" t="s">
        <v>70</v>
      </c>
      <c r="B830" s="2" t="n">
        <v>2</v>
      </c>
      <c r="C830" s="2" t="n">
        <v>64</v>
      </c>
      <c r="D830" s="2" t="n">
        <v>2</v>
      </c>
      <c r="E830" s="2" t="n">
        <v>240</v>
      </c>
      <c r="F830" s="2" t="n">
        <v>110</v>
      </c>
      <c r="G830" s="2" t="s">
        <v>45</v>
      </c>
      <c r="H830" s="6" t="str">
        <f aca="false">A830&amp;"_"&amp;B830</f>
        <v>retiro_2</v>
      </c>
      <c r="I830" s="6" t="str">
        <f aca="false">H830&amp;"_"&amp;C830&amp;"_"&amp;G830</f>
        <v>retiro_2_64_Coussapoa micropoda</v>
      </c>
      <c r="J830" s="6" t="n">
        <f aca="false">IF(COUNTIF($I$2:I830,I830)=1,1,0)</f>
        <v>0</v>
      </c>
      <c r="K830" s="6" t="n">
        <f aca="false">E830*$Q$2</f>
        <v>24</v>
      </c>
      <c r="L830" s="7" t="n">
        <f aca="false">K830/PI()</f>
        <v>7.63943726841098</v>
      </c>
      <c r="M830" s="8" t="n">
        <f aca="false">PI()*L830^2/40000</f>
        <v>0.00458366236104659</v>
      </c>
      <c r="N830" s="7" t="n">
        <f aca="false">F830*$Q$3</f>
        <v>11</v>
      </c>
      <c r="O830" s="3"/>
      <c r="P830" s="3"/>
      <c r="Q830" s="3"/>
    </row>
    <row r="831" customFormat="false" ht="15" hidden="false" customHeight="false" outlineLevel="0" collapsed="false">
      <c r="A831" s="2" t="s">
        <v>70</v>
      </c>
      <c r="B831" s="2" t="n">
        <v>2</v>
      </c>
      <c r="C831" s="2" t="n">
        <v>65</v>
      </c>
      <c r="D831" s="2" t="n">
        <v>1</v>
      </c>
      <c r="E831" s="2" t="n">
        <v>450</v>
      </c>
      <c r="F831" s="2" t="n">
        <v>70</v>
      </c>
      <c r="G831" s="2" t="s">
        <v>45</v>
      </c>
      <c r="H831" s="6" t="str">
        <f aca="false">A831&amp;"_"&amp;B831</f>
        <v>retiro_2</v>
      </c>
      <c r="I831" s="6" t="str">
        <f aca="false">H831&amp;"_"&amp;C831&amp;"_"&amp;G831</f>
        <v>retiro_2_65_Coussapoa micropoda</v>
      </c>
      <c r="J831" s="6" t="n">
        <f aca="false">IF(COUNTIF($I$2:I831,I831)=1,1,0)</f>
        <v>1</v>
      </c>
      <c r="K831" s="6" t="n">
        <f aca="false">E831*$Q$2</f>
        <v>45</v>
      </c>
      <c r="L831" s="7" t="n">
        <f aca="false">K831/PI()</f>
        <v>14.3239448782706</v>
      </c>
      <c r="M831" s="8" t="n">
        <f aca="false">PI()*L831^2/40000</f>
        <v>0.0161144379880544</v>
      </c>
      <c r="N831" s="7" t="n">
        <f aca="false">F831*$Q$3</f>
        <v>7</v>
      </c>
      <c r="O831" s="3"/>
      <c r="P831" s="3"/>
      <c r="Q831" s="3"/>
    </row>
    <row r="832" customFormat="false" ht="15" hidden="false" customHeight="false" outlineLevel="0" collapsed="false">
      <c r="A832" s="2" t="s">
        <v>70</v>
      </c>
      <c r="B832" s="2" t="n">
        <v>2</v>
      </c>
      <c r="C832" s="2" t="n">
        <v>66</v>
      </c>
      <c r="D832" s="2" t="n">
        <v>1</v>
      </c>
      <c r="E832" s="2" t="n">
        <v>380</v>
      </c>
      <c r="F832" s="2" t="n">
        <v>70</v>
      </c>
      <c r="G832" s="2" t="s">
        <v>45</v>
      </c>
      <c r="H832" s="6" t="str">
        <f aca="false">A832&amp;"_"&amp;B832</f>
        <v>retiro_2</v>
      </c>
      <c r="I832" s="6" t="str">
        <f aca="false">H832&amp;"_"&amp;C832&amp;"_"&amp;G832</f>
        <v>retiro_2_66_Coussapoa micropoda</v>
      </c>
      <c r="J832" s="6" t="n">
        <f aca="false">IF(COUNTIF($I$2:I832,I832)=1,1,0)</f>
        <v>1</v>
      </c>
      <c r="K832" s="6" t="n">
        <f aca="false">E832*$Q$2</f>
        <v>38</v>
      </c>
      <c r="L832" s="7" t="n">
        <f aca="false">K832/PI()</f>
        <v>12.095775674984</v>
      </c>
      <c r="M832" s="8" t="n">
        <f aca="false">PI()*L832^2/40000</f>
        <v>0.0114909868912348</v>
      </c>
      <c r="N832" s="7" t="n">
        <f aca="false">F832*$Q$3</f>
        <v>7</v>
      </c>
      <c r="O832" s="3"/>
      <c r="P832" s="3"/>
      <c r="Q832" s="3"/>
    </row>
    <row r="833" customFormat="false" ht="15" hidden="false" customHeight="false" outlineLevel="0" collapsed="false">
      <c r="A833" s="2" t="s">
        <v>70</v>
      </c>
      <c r="B833" s="2" t="n">
        <v>2</v>
      </c>
      <c r="C833" s="2" t="n">
        <v>67</v>
      </c>
      <c r="D833" s="2" t="n">
        <v>1</v>
      </c>
      <c r="E833" s="2" t="n">
        <v>210</v>
      </c>
      <c r="F833" s="2" t="n">
        <v>50</v>
      </c>
      <c r="G833" s="2" t="s">
        <v>60</v>
      </c>
      <c r="H833" s="6" t="str">
        <f aca="false">A833&amp;"_"&amp;B833</f>
        <v>retiro_2</v>
      </c>
      <c r="I833" s="6" t="str">
        <f aca="false">H833&amp;"_"&amp;C833&amp;"_"&amp;G833</f>
        <v>retiro_2_67_Alchornea triplinervia</v>
      </c>
      <c r="J833" s="6" t="n">
        <f aca="false">IF(COUNTIF($I$2:I833,I833)=1,1,0)</f>
        <v>1</v>
      </c>
      <c r="K833" s="6" t="n">
        <f aca="false">E833*$Q$2</f>
        <v>21</v>
      </c>
      <c r="L833" s="7" t="n">
        <f aca="false">K833/PI()</f>
        <v>6.68450760985961</v>
      </c>
      <c r="M833" s="8" t="n">
        <f aca="false">PI()*L833^2/40000</f>
        <v>0.00350936649517629</v>
      </c>
      <c r="N833" s="7" t="n">
        <f aca="false">F833*$Q$3</f>
        <v>5</v>
      </c>
      <c r="O833" s="3"/>
      <c r="P833" s="3"/>
      <c r="Q833" s="3"/>
    </row>
    <row r="834" customFormat="false" ht="15" hidden="false" customHeight="false" outlineLevel="0" collapsed="false">
      <c r="A834" s="2" t="s">
        <v>70</v>
      </c>
      <c r="B834" s="2" t="n">
        <v>2</v>
      </c>
      <c r="C834" s="2" t="n">
        <v>67</v>
      </c>
      <c r="D834" s="2" t="n">
        <v>2</v>
      </c>
      <c r="E834" s="2" t="n">
        <v>40</v>
      </c>
      <c r="F834" s="2" t="n">
        <v>50</v>
      </c>
      <c r="G834" s="2" t="s">
        <v>60</v>
      </c>
      <c r="H834" s="6" t="str">
        <f aca="false">A834&amp;"_"&amp;B834</f>
        <v>retiro_2</v>
      </c>
      <c r="I834" s="6" t="str">
        <f aca="false">H834&amp;"_"&amp;C834&amp;"_"&amp;G834</f>
        <v>retiro_2_67_Alchornea triplinervia</v>
      </c>
      <c r="J834" s="6" t="n">
        <f aca="false">IF(COUNTIF($I$2:I834,I834)=1,1,0)</f>
        <v>0</v>
      </c>
      <c r="K834" s="6" t="n">
        <f aca="false">E834*$Q$2</f>
        <v>4</v>
      </c>
      <c r="L834" s="7" t="n">
        <f aca="false">K834/PI()</f>
        <v>1.27323954473516</v>
      </c>
      <c r="M834" s="8" t="n">
        <f aca="false">PI()*L834^2/40000</f>
        <v>0.000127323954473516</v>
      </c>
      <c r="N834" s="7" t="n">
        <f aca="false">F834*$Q$3</f>
        <v>5</v>
      </c>
      <c r="O834" s="3"/>
      <c r="P834" s="3"/>
      <c r="Q834" s="3"/>
    </row>
    <row r="835" customFormat="false" ht="15" hidden="false" customHeight="false" outlineLevel="0" collapsed="false">
      <c r="A835" s="2" t="s">
        <v>70</v>
      </c>
      <c r="B835" s="2" t="n">
        <v>2</v>
      </c>
      <c r="C835" s="2" t="n">
        <v>67</v>
      </c>
      <c r="D835" s="2" t="n">
        <v>3</v>
      </c>
      <c r="E835" s="2" t="n">
        <v>40</v>
      </c>
      <c r="F835" s="2" t="n">
        <v>50</v>
      </c>
      <c r="G835" s="2" t="s">
        <v>60</v>
      </c>
      <c r="H835" s="6" t="str">
        <f aca="false">A835&amp;"_"&amp;B835</f>
        <v>retiro_2</v>
      </c>
      <c r="I835" s="6" t="str">
        <f aca="false">H835&amp;"_"&amp;C835&amp;"_"&amp;G835</f>
        <v>retiro_2_67_Alchornea triplinervia</v>
      </c>
      <c r="J835" s="6" t="n">
        <f aca="false">IF(COUNTIF($I$2:I835,I835)=1,1,0)</f>
        <v>0</v>
      </c>
      <c r="K835" s="6" t="n">
        <f aca="false">E835*$Q$2</f>
        <v>4</v>
      </c>
      <c r="L835" s="7" t="n">
        <f aca="false">K835/PI()</f>
        <v>1.27323954473516</v>
      </c>
      <c r="M835" s="8" t="n">
        <f aca="false">PI()*L835^2/40000</f>
        <v>0.000127323954473516</v>
      </c>
      <c r="N835" s="7" t="n">
        <f aca="false">F835*$Q$3</f>
        <v>5</v>
      </c>
      <c r="O835" s="3"/>
      <c r="P835" s="3"/>
      <c r="Q835" s="3"/>
    </row>
    <row r="836" customFormat="false" ht="15" hidden="false" customHeight="false" outlineLevel="0" collapsed="false">
      <c r="A836" s="2" t="s">
        <v>70</v>
      </c>
      <c r="B836" s="2" t="n">
        <v>2</v>
      </c>
      <c r="C836" s="2" t="n">
        <v>67</v>
      </c>
      <c r="D836" s="2" t="n">
        <v>4</v>
      </c>
      <c r="E836" s="2" t="n">
        <v>40</v>
      </c>
      <c r="F836" s="2" t="n">
        <v>50</v>
      </c>
      <c r="G836" s="2" t="s">
        <v>60</v>
      </c>
      <c r="H836" s="6" t="str">
        <f aca="false">A836&amp;"_"&amp;B836</f>
        <v>retiro_2</v>
      </c>
      <c r="I836" s="6" t="str">
        <f aca="false">H836&amp;"_"&amp;C836&amp;"_"&amp;G836</f>
        <v>retiro_2_67_Alchornea triplinervia</v>
      </c>
      <c r="J836" s="6" t="n">
        <f aca="false">IF(COUNTIF($I$2:I836,I836)=1,1,0)</f>
        <v>0</v>
      </c>
      <c r="K836" s="6" t="n">
        <f aca="false">E836*$Q$2</f>
        <v>4</v>
      </c>
      <c r="L836" s="7" t="n">
        <f aca="false">K836/PI()</f>
        <v>1.27323954473516</v>
      </c>
      <c r="M836" s="8" t="n">
        <f aca="false">PI()*L836^2/40000</f>
        <v>0.000127323954473516</v>
      </c>
      <c r="N836" s="7" t="n">
        <f aca="false">F836*$Q$3</f>
        <v>5</v>
      </c>
      <c r="O836" s="3"/>
      <c r="P836" s="3"/>
      <c r="Q836" s="3"/>
    </row>
    <row r="837" customFormat="false" ht="15" hidden="false" customHeight="false" outlineLevel="0" collapsed="false">
      <c r="A837" s="2" t="s">
        <v>70</v>
      </c>
      <c r="B837" s="2" t="n">
        <v>2</v>
      </c>
      <c r="C837" s="2" t="n">
        <v>67</v>
      </c>
      <c r="D837" s="2" t="n">
        <v>5</v>
      </c>
      <c r="E837" s="2" t="n">
        <v>20</v>
      </c>
      <c r="F837" s="2" t="n">
        <v>50</v>
      </c>
      <c r="G837" s="2" t="s">
        <v>60</v>
      </c>
      <c r="H837" s="6" t="str">
        <f aca="false">A837&amp;"_"&amp;B837</f>
        <v>retiro_2</v>
      </c>
      <c r="I837" s="6" t="str">
        <f aca="false">H837&amp;"_"&amp;C837&amp;"_"&amp;G837</f>
        <v>retiro_2_67_Alchornea triplinervia</v>
      </c>
      <c r="J837" s="6" t="n">
        <f aca="false">IF(COUNTIF($I$2:I837,I837)=1,1,0)</f>
        <v>0</v>
      </c>
      <c r="K837" s="6" t="n">
        <f aca="false">E837*$Q$2</f>
        <v>2</v>
      </c>
      <c r="L837" s="7" t="n">
        <f aca="false">K837/PI()</f>
        <v>0.636619772367581</v>
      </c>
      <c r="M837" s="8" t="n">
        <f aca="false">PI()*L837^2/40000</f>
        <v>3.18309886183791E-005</v>
      </c>
      <c r="N837" s="7" t="n">
        <f aca="false">F837*$Q$3</f>
        <v>5</v>
      </c>
      <c r="O837" s="3"/>
      <c r="P837" s="3"/>
      <c r="Q837" s="3"/>
    </row>
    <row r="838" customFormat="false" ht="15" hidden="false" customHeight="false" outlineLevel="0" collapsed="false">
      <c r="A838" s="2" t="s">
        <v>70</v>
      </c>
      <c r="B838" s="2" t="n">
        <v>2</v>
      </c>
      <c r="C838" s="2" t="n">
        <v>67</v>
      </c>
      <c r="D838" s="2" t="n">
        <v>6</v>
      </c>
      <c r="E838" s="2" t="n">
        <v>30</v>
      </c>
      <c r="F838" s="2" t="n">
        <v>50</v>
      </c>
      <c r="G838" s="2" t="s">
        <v>60</v>
      </c>
      <c r="H838" s="6" t="str">
        <f aca="false">A838&amp;"_"&amp;B838</f>
        <v>retiro_2</v>
      </c>
      <c r="I838" s="6" t="str">
        <f aca="false">H838&amp;"_"&amp;C838&amp;"_"&amp;G838</f>
        <v>retiro_2_67_Alchornea triplinervia</v>
      </c>
      <c r="J838" s="6" t="n">
        <f aca="false">IF(COUNTIF($I$2:I838,I838)=1,1,0)</f>
        <v>0</v>
      </c>
      <c r="K838" s="6" t="n">
        <f aca="false">E838*$Q$2</f>
        <v>3</v>
      </c>
      <c r="L838" s="7" t="n">
        <f aca="false">K838/PI()</f>
        <v>0.954929658551372</v>
      </c>
      <c r="M838" s="8" t="n">
        <f aca="false">PI()*L838^2/40000</f>
        <v>7.16197243913529E-005</v>
      </c>
      <c r="N838" s="7" t="n">
        <f aca="false">F838*$Q$3</f>
        <v>5</v>
      </c>
      <c r="O838" s="3"/>
      <c r="P838" s="3"/>
      <c r="Q838" s="3"/>
    </row>
    <row r="839" customFormat="false" ht="15" hidden="false" customHeight="false" outlineLevel="0" collapsed="false">
      <c r="A839" s="2" t="s">
        <v>70</v>
      </c>
      <c r="B839" s="2" t="n">
        <v>2</v>
      </c>
      <c r="C839" s="2" t="n">
        <v>67</v>
      </c>
      <c r="D839" s="2" t="n">
        <v>7</v>
      </c>
      <c r="E839" s="2" t="n">
        <v>80</v>
      </c>
      <c r="F839" s="2" t="n">
        <v>50</v>
      </c>
      <c r="G839" s="2" t="s">
        <v>60</v>
      </c>
      <c r="H839" s="6" t="str">
        <f aca="false">A839&amp;"_"&amp;B839</f>
        <v>retiro_2</v>
      </c>
      <c r="I839" s="6" t="str">
        <f aca="false">H839&amp;"_"&amp;C839&amp;"_"&amp;G839</f>
        <v>retiro_2_67_Alchornea triplinervia</v>
      </c>
      <c r="J839" s="6" t="n">
        <f aca="false">IF(COUNTIF($I$2:I839,I839)=1,1,0)</f>
        <v>0</v>
      </c>
      <c r="K839" s="6" t="n">
        <f aca="false">E839*$Q$2</f>
        <v>8</v>
      </c>
      <c r="L839" s="7" t="n">
        <f aca="false">K839/PI()</f>
        <v>2.54647908947033</v>
      </c>
      <c r="M839" s="8" t="n">
        <f aca="false">PI()*L839^2/40000</f>
        <v>0.000509295817894065</v>
      </c>
      <c r="N839" s="7" t="n">
        <f aca="false">F839*$Q$3</f>
        <v>5</v>
      </c>
      <c r="O839" s="3"/>
      <c r="P839" s="3"/>
      <c r="Q839" s="3"/>
    </row>
    <row r="840" customFormat="false" ht="15" hidden="false" customHeight="false" outlineLevel="0" collapsed="false">
      <c r="A840" s="2" t="s">
        <v>70</v>
      </c>
      <c r="B840" s="2" t="n">
        <v>2</v>
      </c>
      <c r="C840" s="2" t="n">
        <v>67</v>
      </c>
      <c r="D840" s="2" t="n">
        <v>8</v>
      </c>
      <c r="E840" s="2" t="n">
        <v>40</v>
      </c>
      <c r="F840" s="2" t="n">
        <v>50</v>
      </c>
      <c r="G840" s="2" t="s">
        <v>60</v>
      </c>
      <c r="H840" s="6" t="str">
        <f aca="false">A840&amp;"_"&amp;B840</f>
        <v>retiro_2</v>
      </c>
      <c r="I840" s="6" t="str">
        <f aca="false">H840&amp;"_"&amp;C840&amp;"_"&amp;G840</f>
        <v>retiro_2_67_Alchornea triplinervia</v>
      </c>
      <c r="J840" s="6" t="n">
        <f aca="false">IF(COUNTIF($I$2:I840,I840)=1,1,0)</f>
        <v>0</v>
      </c>
      <c r="K840" s="6" t="n">
        <f aca="false">E840*$Q$2</f>
        <v>4</v>
      </c>
      <c r="L840" s="7" t="n">
        <f aca="false">K840/PI()</f>
        <v>1.27323954473516</v>
      </c>
      <c r="M840" s="8" t="n">
        <f aca="false">PI()*L840^2/40000</f>
        <v>0.000127323954473516</v>
      </c>
      <c r="N840" s="7" t="n">
        <f aca="false">F840*$Q$3</f>
        <v>5</v>
      </c>
      <c r="O840" s="3"/>
      <c r="P840" s="3"/>
      <c r="Q840" s="3"/>
    </row>
    <row r="841" customFormat="false" ht="15" hidden="false" customHeight="false" outlineLevel="0" collapsed="false">
      <c r="A841" s="2" t="s">
        <v>70</v>
      </c>
      <c r="B841" s="2" t="n">
        <v>2</v>
      </c>
      <c r="C841" s="2" t="n">
        <v>67</v>
      </c>
      <c r="D841" s="2" t="n">
        <v>9</v>
      </c>
      <c r="E841" s="2" t="n">
        <v>240</v>
      </c>
      <c r="F841" s="2" t="n">
        <v>50</v>
      </c>
      <c r="G841" s="2" t="s">
        <v>60</v>
      </c>
      <c r="H841" s="6" t="str">
        <f aca="false">A841&amp;"_"&amp;B841</f>
        <v>retiro_2</v>
      </c>
      <c r="I841" s="6" t="str">
        <f aca="false">H841&amp;"_"&amp;C841&amp;"_"&amp;G841</f>
        <v>retiro_2_67_Alchornea triplinervia</v>
      </c>
      <c r="J841" s="6" t="n">
        <f aca="false">IF(COUNTIF($I$2:I841,I841)=1,1,0)</f>
        <v>0</v>
      </c>
      <c r="K841" s="6" t="n">
        <f aca="false">E841*$Q$2</f>
        <v>24</v>
      </c>
      <c r="L841" s="7" t="n">
        <f aca="false">K841/PI()</f>
        <v>7.63943726841098</v>
      </c>
      <c r="M841" s="8" t="n">
        <f aca="false">PI()*L841^2/40000</f>
        <v>0.00458366236104659</v>
      </c>
      <c r="N841" s="7" t="n">
        <f aca="false">F841*$Q$3</f>
        <v>5</v>
      </c>
      <c r="O841" s="3"/>
      <c r="P841" s="3"/>
      <c r="Q841" s="3"/>
    </row>
    <row r="842" customFormat="false" ht="15" hidden="false" customHeight="false" outlineLevel="0" collapsed="false">
      <c r="A842" s="2" t="s">
        <v>70</v>
      </c>
      <c r="B842" s="2" t="n">
        <v>2</v>
      </c>
      <c r="C842" s="2" t="n">
        <v>68</v>
      </c>
      <c r="D842" s="2" t="n">
        <v>1</v>
      </c>
      <c r="E842" s="2" t="n">
        <v>220</v>
      </c>
      <c r="F842" s="2" t="n">
        <v>70</v>
      </c>
      <c r="G842" s="2" t="s">
        <v>37</v>
      </c>
      <c r="H842" s="6" t="str">
        <f aca="false">A842&amp;"_"&amp;B842</f>
        <v>retiro_2</v>
      </c>
      <c r="I842" s="6" t="str">
        <f aca="false">H842&amp;"_"&amp;C842&amp;"_"&amp;G842</f>
        <v>retiro_2_68_Tabebuia cassinoides</v>
      </c>
      <c r="J842" s="6" t="n">
        <f aca="false">IF(COUNTIF($I$2:I842,I842)=1,1,0)</f>
        <v>1</v>
      </c>
      <c r="K842" s="6" t="n">
        <f aca="false">E842*$Q$2</f>
        <v>22</v>
      </c>
      <c r="L842" s="7" t="n">
        <f aca="false">K842/PI()</f>
        <v>7.0028174960434</v>
      </c>
      <c r="M842" s="8" t="n">
        <f aca="false">PI()*L842^2/40000</f>
        <v>0.00385154962282387</v>
      </c>
      <c r="N842" s="7" t="n">
        <f aca="false">F842*$Q$3</f>
        <v>7</v>
      </c>
      <c r="O842" s="3"/>
      <c r="P842" s="3"/>
      <c r="Q842" s="3"/>
    </row>
    <row r="843" customFormat="false" ht="15" hidden="false" customHeight="false" outlineLevel="0" collapsed="false">
      <c r="A843" s="2" t="s">
        <v>70</v>
      </c>
      <c r="B843" s="2" t="n">
        <v>2</v>
      </c>
      <c r="C843" s="2" t="n">
        <v>68</v>
      </c>
      <c r="D843" s="2" t="n">
        <v>2</v>
      </c>
      <c r="E843" s="2" t="n">
        <v>60</v>
      </c>
      <c r="F843" s="2" t="n">
        <v>70</v>
      </c>
      <c r="G843" s="2" t="s">
        <v>37</v>
      </c>
      <c r="H843" s="6" t="str">
        <f aca="false">A843&amp;"_"&amp;B843</f>
        <v>retiro_2</v>
      </c>
      <c r="I843" s="6" t="str">
        <f aca="false">H843&amp;"_"&amp;C843&amp;"_"&amp;G843</f>
        <v>retiro_2_68_Tabebuia cassinoides</v>
      </c>
      <c r="J843" s="6" t="n">
        <f aca="false">IF(COUNTIF($I$2:I843,I843)=1,1,0)</f>
        <v>0</v>
      </c>
      <c r="K843" s="6" t="n">
        <f aca="false">E843*$Q$2</f>
        <v>6</v>
      </c>
      <c r="L843" s="7" t="n">
        <f aca="false">K843/PI()</f>
        <v>1.90985931710274</v>
      </c>
      <c r="M843" s="8" t="n">
        <f aca="false">PI()*L843^2/40000</f>
        <v>0.000286478897565412</v>
      </c>
      <c r="N843" s="7" t="n">
        <f aca="false">F843*$Q$3</f>
        <v>7</v>
      </c>
      <c r="O843" s="3"/>
      <c r="P843" s="3"/>
      <c r="Q843" s="3"/>
    </row>
    <row r="844" customFormat="false" ht="15" hidden="false" customHeight="false" outlineLevel="0" collapsed="false">
      <c r="A844" s="2" t="s">
        <v>70</v>
      </c>
      <c r="B844" s="2" t="n">
        <v>2</v>
      </c>
      <c r="C844" s="2" t="n">
        <v>68</v>
      </c>
      <c r="D844" s="2" t="n">
        <v>3</v>
      </c>
      <c r="E844" s="2" t="n">
        <v>150</v>
      </c>
      <c r="F844" s="2" t="n">
        <v>70</v>
      </c>
      <c r="G844" s="2" t="s">
        <v>37</v>
      </c>
      <c r="H844" s="6" t="str">
        <f aca="false">A844&amp;"_"&amp;B844</f>
        <v>retiro_2</v>
      </c>
      <c r="I844" s="6" t="str">
        <f aca="false">H844&amp;"_"&amp;C844&amp;"_"&amp;G844</f>
        <v>retiro_2_68_Tabebuia cassinoides</v>
      </c>
      <c r="J844" s="6" t="n">
        <f aca="false">IF(COUNTIF($I$2:I844,I844)=1,1,0)</f>
        <v>0</v>
      </c>
      <c r="K844" s="6" t="n">
        <f aca="false">E844*$Q$2</f>
        <v>15</v>
      </c>
      <c r="L844" s="7" t="n">
        <f aca="false">K844/PI()</f>
        <v>4.77464829275686</v>
      </c>
      <c r="M844" s="8" t="n">
        <f aca="false">PI()*L844^2/40000</f>
        <v>0.00179049310978382</v>
      </c>
      <c r="N844" s="7" t="n">
        <f aca="false">F844*$Q$3</f>
        <v>7</v>
      </c>
      <c r="O844" s="3"/>
      <c r="P844" s="3"/>
      <c r="Q844" s="3"/>
    </row>
    <row r="845" customFormat="false" ht="15" hidden="false" customHeight="false" outlineLevel="0" collapsed="false">
      <c r="A845" s="2" t="s">
        <v>70</v>
      </c>
      <c r="B845" s="2" t="n">
        <v>2</v>
      </c>
      <c r="C845" s="2" t="n">
        <v>69</v>
      </c>
      <c r="D845" s="2" t="n">
        <v>1</v>
      </c>
      <c r="E845" s="2" t="n">
        <v>370</v>
      </c>
      <c r="F845" s="2" t="n">
        <v>110</v>
      </c>
      <c r="G845" s="2" t="s">
        <v>37</v>
      </c>
      <c r="H845" s="6" t="str">
        <f aca="false">A845&amp;"_"&amp;B845</f>
        <v>retiro_2</v>
      </c>
      <c r="I845" s="6" t="str">
        <f aca="false">H845&amp;"_"&amp;C845&amp;"_"&amp;G845</f>
        <v>retiro_2_69_Tabebuia cassinoides</v>
      </c>
      <c r="J845" s="6" t="n">
        <f aca="false">IF(COUNTIF($I$2:I845,I845)=1,1,0)</f>
        <v>1</v>
      </c>
      <c r="K845" s="6" t="n">
        <f aca="false">E845*$Q$2</f>
        <v>37</v>
      </c>
      <c r="L845" s="7" t="n">
        <f aca="false">K845/PI()</f>
        <v>11.7774657888003</v>
      </c>
      <c r="M845" s="8" t="n">
        <f aca="false">PI()*L845^2/40000</f>
        <v>0.0108941558546402</v>
      </c>
      <c r="N845" s="7" t="n">
        <f aca="false">F845*$Q$3</f>
        <v>11</v>
      </c>
      <c r="O845" s="3"/>
      <c r="P845" s="3"/>
      <c r="Q845" s="3"/>
    </row>
    <row r="846" customFormat="false" ht="15" hidden="false" customHeight="false" outlineLevel="0" collapsed="false">
      <c r="A846" s="2" t="s">
        <v>70</v>
      </c>
      <c r="B846" s="2" t="n">
        <v>2</v>
      </c>
      <c r="C846" s="2" t="n">
        <v>69</v>
      </c>
      <c r="D846" s="2" t="n">
        <v>2</v>
      </c>
      <c r="E846" s="2" t="n">
        <v>70</v>
      </c>
      <c r="F846" s="2" t="n">
        <v>110</v>
      </c>
      <c r="G846" s="2" t="s">
        <v>37</v>
      </c>
      <c r="H846" s="6" t="str">
        <f aca="false">A846&amp;"_"&amp;B846</f>
        <v>retiro_2</v>
      </c>
      <c r="I846" s="6" t="str">
        <f aca="false">H846&amp;"_"&amp;C846&amp;"_"&amp;G846</f>
        <v>retiro_2_69_Tabebuia cassinoides</v>
      </c>
      <c r="J846" s="6" t="n">
        <f aca="false">IF(COUNTIF($I$2:I846,I846)=1,1,0)</f>
        <v>0</v>
      </c>
      <c r="K846" s="6" t="n">
        <f aca="false">E846*$Q$2</f>
        <v>7</v>
      </c>
      <c r="L846" s="7" t="n">
        <f aca="false">K846/PI()</f>
        <v>2.22816920328654</v>
      </c>
      <c r="M846" s="8" t="n">
        <f aca="false">PI()*L846^2/40000</f>
        <v>0.000389929610575144</v>
      </c>
      <c r="N846" s="7" t="n">
        <f aca="false">F846*$Q$3</f>
        <v>11</v>
      </c>
      <c r="O846" s="3"/>
      <c r="P846" s="3"/>
      <c r="Q846" s="3"/>
    </row>
    <row r="847" customFormat="false" ht="15" hidden="false" customHeight="false" outlineLevel="0" collapsed="false">
      <c r="A847" s="2" t="s">
        <v>70</v>
      </c>
      <c r="B847" s="2" t="n">
        <v>2</v>
      </c>
      <c r="C847" s="2" t="n">
        <v>69</v>
      </c>
      <c r="D847" s="2" t="n">
        <v>3</v>
      </c>
      <c r="E847" s="2" t="n">
        <v>200</v>
      </c>
      <c r="F847" s="2" t="n">
        <v>110</v>
      </c>
      <c r="G847" s="2" t="s">
        <v>37</v>
      </c>
      <c r="H847" s="6" t="str">
        <f aca="false">A847&amp;"_"&amp;B847</f>
        <v>retiro_2</v>
      </c>
      <c r="I847" s="6" t="str">
        <f aca="false">H847&amp;"_"&amp;C847&amp;"_"&amp;G847</f>
        <v>retiro_2_69_Tabebuia cassinoides</v>
      </c>
      <c r="J847" s="6" t="n">
        <f aca="false">IF(COUNTIF($I$2:I847,I847)=1,1,0)</f>
        <v>0</v>
      </c>
      <c r="K847" s="6" t="n">
        <f aca="false">E847*$Q$2</f>
        <v>20</v>
      </c>
      <c r="L847" s="7" t="n">
        <f aca="false">K847/PI()</f>
        <v>6.36619772367581</v>
      </c>
      <c r="M847" s="8" t="n">
        <f aca="false">PI()*L847^2/40000</f>
        <v>0.00318309886183791</v>
      </c>
      <c r="N847" s="7" t="n">
        <f aca="false">F847*$Q$3</f>
        <v>11</v>
      </c>
      <c r="O847" s="3"/>
      <c r="P847" s="3"/>
      <c r="Q847" s="3"/>
    </row>
    <row r="848" customFormat="false" ht="15" hidden="false" customHeight="false" outlineLevel="0" collapsed="false">
      <c r="A848" s="2" t="s">
        <v>70</v>
      </c>
      <c r="B848" s="2" t="n">
        <v>2</v>
      </c>
      <c r="C848" s="2" t="n">
        <v>69</v>
      </c>
      <c r="D848" s="2" t="n">
        <v>4</v>
      </c>
      <c r="E848" s="2" t="n">
        <v>150</v>
      </c>
      <c r="F848" s="2" t="n">
        <v>110</v>
      </c>
      <c r="G848" s="2" t="s">
        <v>37</v>
      </c>
      <c r="H848" s="6" t="str">
        <f aca="false">A848&amp;"_"&amp;B848</f>
        <v>retiro_2</v>
      </c>
      <c r="I848" s="6" t="str">
        <f aca="false">H848&amp;"_"&amp;C848&amp;"_"&amp;G848</f>
        <v>retiro_2_69_Tabebuia cassinoides</v>
      </c>
      <c r="J848" s="6" t="n">
        <f aca="false">IF(COUNTIF($I$2:I848,I848)=1,1,0)</f>
        <v>0</v>
      </c>
      <c r="K848" s="6" t="n">
        <f aca="false">E848*$Q$2</f>
        <v>15</v>
      </c>
      <c r="L848" s="7" t="n">
        <f aca="false">K848/PI()</f>
        <v>4.77464829275686</v>
      </c>
      <c r="M848" s="8" t="n">
        <f aca="false">PI()*L848^2/40000</f>
        <v>0.00179049310978382</v>
      </c>
      <c r="N848" s="7" t="n">
        <f aca="false">F848*$Q$3</f>
        <v>11</v>
      </c>
      <c r="O848" s="3"/>
      <c r="P848" s="3"/>
      <c r="Q848" s="3"/>
    </row>
    <row r="849" customFormat="false" ht="15" hidden="false" customHeight="false" outlineLevel="0" collapsed="false">
      <c r="A849" s="2" t="s">
        <v>70</v>
      </c>
      <c r="B849" s="2" t="n">
        <v>2</v>
      </c>
      <c r="C849" s="2" t="n">
        <v>69</v>
      </c>
      <c r="D849" s="2" t="n">
        <v>5</v>
      </c>
      <c r="E849" s="2" t="n">
        <v>165</v>
      </c>
      <c r="F849" s="2" t="n">
        <v>110</v>
      </c>
      <c r="G849" s="2" t="s">
        <v>37</v>
      </c>
      <c r="H849" s="6" t="str">
        <f aca="false">A849&amp;"_"&amp;B849</f>
        <v>retiro_2</v>
      </c>
      <c r="I849" s="6" t="str">
        <f aca="false">H849&amp;"_"&amp;C849&amp;"_"&amp;G849</f>
        <v>retiro_2_69_Tabebuia cassinoides</v>
      </c>
      <c r="J849" s="6" t="n">
        <f aca="false">IF(COUNTIF($I$2:I849,I849)=1,1,0)</f>
        <v>0</v>
      </c>
      <c r="K849" s="6" t="n">
        <f aca="false">E849*$Q$2</f>
        <v>16.5</v>
      </c>
      <c r="L849" s="7" t="n">
        <f aca="false">K849/PI()</f>
        <v>5.25211312203255</v>
      </c>
      <c r="M849" s="8" t="n">
        <f aca="false">PI()*L849^2/40000</f>
        <v>0.00216649666283843</v>
      </c>
      <c r="N849" s="7" t="n">
        <f aca="false">F849*$Q$3</f>
        <v>11</v>
      </c>
      <c r="O849" s="3"/>
      <c r="P849" s="3"/>
      <c r="Q849" s="3"/>
    </row>
    <row r="850" customFormat="false" ht="15" hidden="false" customHeight="false" outlineLevel="0" collapsed="false">
      <c r="A850" s="2" t="s">
        <v>70</v>
      </c>
      <c r="B850" s="2" t="n">
        <v>2</v>
      </c>
      <c r="C850" s="2" t="n">
        <v>69</v>
      </c>
      <c r="D850" s="2" t="n">
        <v>6</v>
      </c>
      <c r="E850" s="2" t="n">
        <v>290</v>
      </c>
      <c r="F850" s="2" t="n">
        <v>110</v>
      </c>
      <c r="G850" s="2" t="s">
        <v>37</v>
      </c>
      <c r="H850" s="6" t="str">
        <f aca="false">A850&amp;"_"&amp;B850</f>
        <v>retiro_2</v>
      </c>
      <c r="I850" s="6" t="str">
        <f aca="false">H850&amp;"_"&amp;C850&amp;"_"&amp;G850</f>
        <v>retiro_2_69_Tabebuia cassinoides</v>
      </c>
      <c r="J850" s="6" t="n">
        <f aca="false">IF(COUNTIF($I$2:I850,I850)=1,1,0)</f>
        <v>0</v>
      </c>
      <c r="K850" s="6" t="n">
        <f aca="false">E850*$Q$2</f>
        <v>29</v>
      </c>
      <c r="L850" s="7" t="n">
        <f aca="false">K850/PI()</f>
        <v>9.23098669932993</v>
      </c>
      <c r="M850" s="8" t="n">
        <f aca="false">PI()*L850^2/40000</f>
        <v>0.0066924653570142</v>
      </c>
      <c r="N850" s="7" t="n">
        <f aca="false">F850*$Q$3</f>
        <v>11</v>
      </c>
      <c r="O850" s="3"/>
      <c r="P850" s="3"/>
      <c r="Q850" s="3"/>
    </row>
    <row r="851" customFormat="false" ht="15" hidden="false" customHeight="false" outlineLevel="0" collapsed="false">
      <c r="A851" s="2" t="s">
        <v>70</v>
      </c>
      <c r="B851" s="2" t="n">
        <v>2</v>
      </c>
      <c r="C851" s="2" t="n">
        <v>70</v>
      </c>
      <c r="D851" s="2" t="n">
        <v>1</v>
      </c>
      <c r="E851" s="2" t="n">
        <v>530</v>
      </c>
      <c r="F851" s="2" t="n">
        <v>130</v>
      </c>
      <c r="G851" s="2" t="s">
        <v>37</v>
      </c>
      <c r="H851" s="6" t="str">
        <f aca="false">A851&amp;"_"&amp;B851</f>
        <v>retiro_2</v>
      </c>
      <c r="I851" s="6" t="str">
        <f aca="false">H851&amp;"_"&amp;C851&amp;"_"&amp;G851</f>
        <v>retiro_2_70_Tabebuia cassinoides</v>
      </c>
      <c r="J851" s="6" t="n">
        <f aca="false">IF(COUNTIF($I$2:I851,I851)=1,1,0)</f>
        <v>1</v>
      </c>
      <c r="K851" s="6" t="n">
        <f aca="false">E851*$Q$2</f>
        <v>53</v>
      </c>
      <c r="L851" s="7" t="n">
        <f aca="false">K851/PI()</f>
        <v>16.8704239677409</v>
      </c>
      <c r="M851" s="8" t="n">
        <f aca="false">PI()*L851^2/40000</f>
        <v>0.0223533117572567</v>
      </c>
      <c r="N851" s="7" t="n">
        <f aca="false">F851*$Q$3</f>
        <v>13</v>
      </c>
      <c r="O851" s="3"/>
      <c r="P851" s="3"/>
      <c r="Q851" s="3"/>
    </row>
    <row r="852" customFormat="false" ht="15" hidden="false" customHeight="false" outlineLevel="0" collapsed="false">
      <c r="A852" s="2" t="s">
        <v>70</v>
      </c>
      <c r="B852" s="2" t="n">
        <v>2</v>
      </c>
      <c r="C852" s="2" t="n">
        <v>70</v>
      </c>
      <c r="D852" s="2" t="n">
        <v>2</v>
      </c>
      <c r="E852" s="2" t="n">
        <v>360</v>
      </c>
      <c r="F852" s="2" t="n">
        <v>130</v>
      </c>
      <c r="G852" s="2" t="s">
        <v>37</v>
      </c>
      <c r="H852" s="6" t="str">
        <f aca="false">A852&amp;"_"&amp;B852</f>
        <v>retiro_2</v>
      </c>
      <c r="I852" s="6" t="str">
        <f aca="false">H852&amp;"_"&amp;C852&amp;"_"&amp;G852</f>
        <v>retiro_2_70_Tabebuia cassinoides</v>
      </c>
      <c r="J852" s="6" t="n">
        <f aca="false">IF(COUNTIF($I$2:I852,I852)=1,1,0)</f>
        <v>0</v>
      </c>
      <c r="K852" s="6" t="n">
        <f aca="false">E852*$Q$2</f>
        <v>36</v>
      </c>
      <c r="L852" s="7" t="n">
        <f aca="false">K852/PI()</f>
        <v>11.4591559026165</v>
      </c>
      <c r="M852" s="8" t="n">
        <f aca="false">PI()*L852^2/40000</f>
        <v>0.0103132403123548</v>
      </c>
      <c r="N852" s="7" t="n">
        <f aca="false">F852*$Q$3</f>
        <v>13</v>
      </c>
      <c r="O852" s="3"/>
      <c r="P852" s="3"/>
      <c r="Q852" s="3"/>
    </row>
    <row r="853" customFormat="false" ht="15" hidden="false" customHeight="false" outlineLevel="0" collapsed="false">
      <c r="A853" s="2" t="s">
        <v>70</v>
      </c>
      <c r="B853" s="2" t="n">
        <v>2</v>
      </c>
      <c r="C853" s="2" t="n">
        <v>70</v>
      </c>
      <c r="D853" s="2" t="n">
        <v>3</v>
      </c>
      <c r="E853" s="2" t="n">
        <v>80</v>
      </c>
      <c r="F853" s="2" t="n">
        <v>130</v>
      </c>
      <c r="G853" s="2" t="s">
        <v>37</v>
      </c>
      <c r="H853" s="6" t="str">
        <f aca="false">A853&amp;"_"&amp;B853</f>
        <v>retiro_2</v>
      </c>
      <c r="I853" s="6" t="str">
        <f aca="false">H853&amp;"_"&amp;C853&amp;"_"&amp;G853</f>
        <v>retiro_2_70_Tabebuia cassinoides</v>
      </c>
      <c r="J853" s="6" t="n">
        <f aca="false">IF(COUNTIF($I$2:I853,I853)=1,1,0)</f>
        <v>0</v>
      </c>
      <c r="K853" s="6" t="n">
        <f aca="false">E853*$Q$2</f>
        <v>8</v>
      </c>
      <c r="L853" s="7" t="n">
        <f aca="false">K853/PI()</f>
        <v>2.54647908947033</v>
      </c>
      <c r="M853" s="8" t="n">
        <f aca="false">PI()*L853^2/40000</f>
        <v>0.000509295817894065</v>
      </c>
      <c r="N853" s="7" t="n">
        <f aca="false">F853*$Q$3</f>
        <v>13</v>
      </c>
      <c r="O853" s="3"/>
      <c r="P853" s="3"/>
      <c r="Q853" s="3"/>
    </row>
    <row r="854" customFormat="false" ht="15" hidden="false" customHeight="false" outlineLevel="0" collapsed="false">
      <c r="A854" s="2" t="s">
        <v>70</v>
      </c>
      <c r="B854" s="2" t="n">
        <v>2</v>
      </c>
      <c r="C854" s="2" t="n">
        <v>71</v>
      </c>
      <c r="D854" s="2" t="n">
        <v>1</v>
      </c>
      <c r="E854" s="2" t="n">
        <v>200</v>
      </c>
      <c r="F854" s="2" t="n">
        <v>70</v>
      </c>
      <c r="G854" s="2" t="s">
        <v>71</v>
      </c>
      <c r="H854" s="6" t="str">
        <f aca="false">A854&amp;"_"&amp;B854</f>
        <v>retiro_2</v>
      </c>
      <c r="I854" s="6" t="str">
        <f aca="false">H854&amp;"_"&amp;C854&amp;"_"&amp;G854</f>
        <v>retiro_2_71_Mela 1</v>
      </c>
      <c r="J854" s="6" t="n">
        <f aca="false">IF(COUNTIF($I$2:I854,I854)=1,1,0)</f>
        <v>1</v>
      </c>
      <c r="K854" s="6" t="n">
        <f aca="false">E854*$Q$2</f>
        <v>20</v>
      </c>
      <c r="L854" s="7" t="n">
        <f aca="false">K854/PI()</f>
        <v>6.36619772367581</v>
      </c>
      <c r="M854" s="8" t="n">
        <f aca="false">PI()*L854^2/40000</f>
        <v>0.00318309886183791</v>
      </c>
      <c r="N854" s="7" t="n">
        <f aca="false">F854*$Q$3</f>
        <v>7</v>
      </c>
      <c r="O854" s="3"/>
      <c r="P854" s="3"/>
      <c r="Q854" s="3"/>
    </row>
    <row r="855" customFormat="false" ht="15" hidden="false" customHeight="false" outlineLevel="0" collapsed="false">
      <c r="A855" s="2" t="s">
        <v>70</v>
      </c>
      <c r="B855" s="2" t="n">
        <v>2</v>
      </c>
      <c r="C855" s="2" t="n">
        <v>71</v>
      </c>
      <c r="D855" s="2" t="n">
        <v>2</v>
      </c>
      <c r="E855" s="2" t="n">
        <v>180</v>
      </c>
      <c r="F855" s="2" t="n">
        <v>70</v>
      </c>
      <c r="G855" s="2" t="s">
        <v>71</v>
      </c>
      <c r="H855" s="6" t="str">
        <f aca="false">A855&amp;"_"&amp;B855</f>
        <v>retiro_2</v>
      </c>
      <c r="I855" s="6" t="str">
        <f aca="false">H855&amp;"_"&amp;C855&amp;"_"&amp;G855</f>
        <v>retiro_2_71_Mela 1</v>
      </c>
      <c r="J855" s="6" t="n">
        <f aca="false">IF(COUNTIF($I$2:I855,I855)=1,1,0)</f>
        <v>0</v>
      </c>
      <c r="K855" s="6" t="n">
        <f aca="false">E855*$Q$2</f>
        <v>18</v>
      </c>
      <c r="L855" s="7" t="n">
        <f aca="false">K855/PI()</f>
        <v>5.72957795130823</v>
      </c>
      <c r="M855" s="8" t="n">
        <f aca="false">PI()*L855^2/40000</f>
        <v>0.0025783100780887</v>
      </c>
      <c r="N855" s="7" t="n">
        <f aca="false">F855*$Q$3</f>
        <v>7</v>
      </c>
      <c r="O855" s="3"/>
      <c r="P855" s="3"/>
      <c r="Q855" s="3"/>
    </row>
    <row r="856" customFormat="false" ht="15" hidden="false" customHeight="false" outlineLevel="0" collapsed="false">
      <c r="A856" s="2" t="s">
        <v>70</v>
      </c>
      <c r="B856" s="2" t="n">
        <v>2</v>
      </c>
      <c r="C856" s="2" t="n">
        <v>71</v>
      </c>
      <c r="D856" s="2" t="n">
        <v>3</v>
      </c>
      <c r="E856" s="2" t="n">
        <v>70</v>
      </c>
      <c r="F856" s="2" t="n">
        <v>70</v>
      </c>
      <c r="G856" s="2" t="s">
        <v>71</v>
      </c>
      <c r="H856" s="6" t="str">
        <f aca="false">A856&amp;"_"&amp;B856</f>
        <v>retiro_2</v>
      </c>
      <c r="I856" s="6" t="str">
        <f aca="false">H856&amp;"_"&amp;C856&amp;"_"&amp;G856</f>
        <v>retiro_2_71_Mela 1</v>
      </c>
      <c r="J856" s="6" t="n">
        <f aca="false">IF(COUNTIF($I$2:I856,I856)=1,1,0)</f>
        <v>0</v>
      </c>
      <c r="K856" s="6" t="n">
        <f aca="false">E856*$Q$2</f>
        <v>7</v>
      </c>
      <c r="L856" s="7" t="n">
        <f aca="false">K856/PI()</f>
        <v>2.22816920328654</v>
      </c>
      <c r="M856" s="8" t="n">
        <f aca="false">PI()*L856^2/40000</f>
        <v>0.000389929610575144</v>
      </c>
      <c r="N856" s="7" t="n">
        <f aca="false">F856*$Q$3</f>
        <v>7</v>
      </c>
      <c r="O856" s="3"/>
      <c r="P856" s="3"/>
      <c r="Q856" s="3"/>
    </row>
    <row r="857" customFormat="false" ht="15" hidden="false" customHeight="false" outlineLevel="0" collapsed="false">
      <c r="A857" s="2" t="s">
        <v>70</v>
      </c>
      <c r="B857" s="2" t="n">
        <v>2</v>
      </c>
      <c r="C857" s="2" t="n">
        <v>72</v>
      </c>
      <c r="D857" s="2" t="n">
        <v>1</v>
      </c>
      <c r="E857" s="2" t="n">
        <v>130</v>
      </c>
      <c r="F857" s="2" t="n">
        <v>40</v>
      </c>
      <c r="G857" s="2" t="s">
        <v>37</v>
      </c>
      <c r="H857" s="6" t="str">
        <f aca="false">A857&amp;"_"&amp;B857</f>
        <v>retiro_2</v>
      </c>
      <c r="I857" s="6" t="str">
        <f aca="false">H857&amp;"_"&amp;C857&amp;"_"&amp;G857</f>
        <v>retiro_2_72_Tabebuia cassinoides</v>
      </c>
      <c r="J857" s="6" t="n">
        <f aca="false">IF(COUNTIF($I$2:I857,I857)=1,1,0)</f>
        <v>1</v>
      </c>
      <c r="K857" s="6" t="n">
        <f aca="false">E857*$Q$2</f>
        <v>13</v>
      </c>
      <c r="L857" s="7" t="n">
        <f aca="false">K857/PI()</f>
        <v>4.13802852038928</v>
      </c>
      <c r="M857" s="8" t="n">
        <f aca="false">PI()*L857^2/40000</f>
        <v>0.00134485926912652</v>
      </c>
      <c r="N857" s="7" t="n">
        <f aca="false">F857*$Q$3</f>
        <v>4</v>
      </c>
      <c r="O857" s="3"/>
      <c r="P857" s="3"/>
      <c r="Q857" s="3"/>
    </row>
    <row r="858" customFormat="false" ht="15" hidden="false" customHeight="false" outlineLevel="0" collapsed="false">
      <c r="A858" s="2" t="s">
        <v>70</v>
      </c>
      <c r="B858" s="2" t="n">
        <v>2</v>
      </c>
      <c r="C858" s="2" t="n">
        <v>72</v>
      </c>
      <c r="D858" s="2" t="n">
        <v>2</v>
      </c>
      <c r="E858" s="2" t="n">
        <v>90</v>
      </c>
      <c r="F858" s="2" t="n">
        <v>40</v>
      </c>
      <c r="G858" s="2" t="s">
        <v>37</v>
      </c>
      <c r="H858" s="6" t="str">
        <f aca="false">A858&amp;"_"&amp;B858</f>
        <v>retiro_2</v>
      </c>
      <c r="I858" s="6" t="str">
        <f aca="false">H858&amp;"_"&amp;C858&amp;"_"&amp;G858</f>
        <v>retiro_2_72_Tabebuia cassinoides</v>
      </c>
      <c r="J858" s="6" t="n">
        <f aca="false">IF(COUNTIF($I$2:I858,I858)=1,1,0)</f>
        <v>0</v>
      </c>
      <c r="K858" s="6" t="n">
        <f aca="false">E858*$Q$2</f>
        <v>9</v>
      </c>
      <c r="L858" s="7" t="n">
        <f aca="false">K858/PI()</f>
        <v>2.86478897565412</v>
      </c>
      <c r="M858" s="8" t="n">
        <f aca="false">PI()*L858^2/40000</f>
        <v>0.000644577519522176</v>
      </c>
      <c r="N858" s="7" t="n">
        <f aca="false">F858*$Q$3</f>
        <v>4</v>
      </c>
      <c r="O858" s="3"/>
      <c r="P858" s="3"/>
      <c r="Q858" s="3"/>
    </row>
    <row r="859" customFormat="false" ht="15" hidden="false" customHeight="false" outlineLevel="0" collapsed="false">
      <c r="A859" s="2" t="s">
        <v>70</v>
      </c>
      <c r="B859" s="2" t="n">
        <v>2</v>
      </c>
      <c r="C859" s="2" t="n">
        <v>73</v>
      </c>
      <c r="D859" s="2" t="n">
        <v>1</v>
      </c>
      <c r="E859" s="2" t="n">
        <v>190</v>
      </c>
      <c r="F859" s="2" t="n">
        <v>50</v>
      </c>
      <c r="G859" s="2" t="s">
        <v>37</v>
      </c>
      <c r="H859" s="6" t="str">
        <f aca="false">A859&amp;"_"&amp;B859</f>
        <v>retiro_2</v>
      </c>
      <c r="I859" s="6" t="str">
        <f aca="false">H859&amp;"_"&amp;C859&amp;"_"&amp;G859</f>
        <v>retiro_2_73_Tabebuia cassinoides</v>
      </c>
      <c r="J859" s="6" t="n">
        <f aca="false">IF(COUNTIF($I$2:I859,I859)=1,1,0)</f>
        <v>1</v>
      </c>
      <c r="K859" s="6" t="n">
        <f aca="false">E859*$Q$2</f>
        <v>19</v>
      </c>
      <c r="L859" s="7" t="n">
        <f aca="false">K859/PI()</f>
        <v>6.04788783749202</v>
      </c>
      <c r="M859" s="8" t="n">
        <f aca="false">PI()*L859^2/40000</f>
        <v>0.00287274672280871</v>
      </c>
      <c r="N859" s="7" t="n">
        <f aca="false">F859*$Q$3</f>
        <v>5</v>
      </c>
      <c r="O859" s="3"/>
      <c r="P859" s="3"/>
      <c r="Q859" s="3"/>
    </row>
    <row r="860" customFormat="false" ht="15" hidden="false" customHeight="false" outlineLevel="0" collapsed="false">
      <c r="A860" s="2" t="s">
        <v>70</v>
      </c>
      <c r="B860" s="2" t="n">
        <v>2</v>
      </c>
      <c r="C860" s="2" t="n">
        <v>73</v>
      </c>
      <c r="D860" s="2" t="n">
        <v>2</v>
      </c>
      <c r="E860" s="2" t="n">
        <v>190</v>
      </c>
      <c r="F860" s="2" t="n">
        <v>50</v>
      </c>
      <c r="G860" s="2" t="s">
        <v>37</v>
      </c>
      <c r="H860" s="6" t="str">
        <f aca="false">A860&amp;"_"&amp;B860</f>
        <v>retiro_2</v>
      </c>
      <c r="I860" s="6" t="str">
        <f aca="false">H860&amp;"_"&amp;C860&amp;"_"&amp;G860</f>
        <v>retiro_2_73_Tabebuia cassinoides</v>
      </c>
      <c r="J860" s="6" t="n">
        <f aca="false">IF(COUNTIF($I$2:I860,I860)=1,1,0)</f>
        <v>0</v>
      </c>
      <c r="K860" s="6" t="n">
        <f aca="false">E860*$Q$2</f>
        <v>19</v>
      </c>
      <c r="L860" s="7" t="n">
        <f aca="false">K860/PI()</f>
        <v>6.04788783749202</v>
      </c>
      <c r="M860" s="8" t="n">
        <f aca="false">PI()*L860^2/40000</f>
        <v>0.00287274672280871</v>
      </c>
      <c r="N860" s="7" t="n">
        <f aca="false">F860*$Q$3</f>
        <v>5</v>
      </c>
      <c r="O860" s="3"/>
      <c r="P860" s="3"/>
      <c r="Q860" s="3"/>
    </row>
    <row r="861" customFormat="false" ht="15" hidden="false" customHeight="false" outlineLevel="0" collapsed="false">
      <c r="A861" s="2" t="s">
        <v>70</v>
      </c>
      <c r="B861" s="2" t="n">
        <v>2</v>
      </c>
      <c r="C861" s="2" t="n">
        <v>74</v>
      </c>
      <c r="D861" s="2" t="n">
        <v>1</v>
      </c>
      <c r="E861" s="2" t="n">
        <v>210</v>
      </c>
      <c r="F861" s="2" t="n">
        <v>60</v>
      </c>
      <c r="G861" s="2" t="s">
        <v>37</v>
      </c>
      <c r="H861" s="6" t="str">
        <f aca="false">A861&amp;"_"&amp;B861</f>
        <v>retiro_2</v>
      </c>
      <c r="I861" s="6" t="str">
        <f aca="false">H861&amp;"_"&amp;C861&amp;"_"&amp;G861</f>
        <v>retiro_2_74_Tabebuia cassinoides</v>
      </c>
      <c r="J861" s="6" t="n">
        <f aca="false">IF(COUNTIF($I$2:I861,I861)=1,1,0)</f>
        <v>1</v>
      </c>
      <c r="K861" s="6" t="n">
        <f aca="false">E861*$Q$2</f>
        <v>21</v>
      </c>
      <c r="L861" s="7" t="n">
        <f aca="false">K861/PI()</f>
        <v>6.68450760985961</v>
      </c>
      <c r="M861" s="8" t="n">
        <f aca="false">PI()*L861^2/40000</f>
        <v>0.00350936649517629</v>
      </c>
      <c r="N861" s="7" t="n">
        <f aca="false">F861*$Q$3</f>
        <v>6</v>
      </c>
      <c r="O861" s="3"/>
      <c r="P861" s="3"/>
      <c r="Q861" s="3"/>
    </row>
    <row r="862" customFormat="false" ht="15" hidden="false" customHeight="false" outlineLevel="0" collapsed="false">
      <c r="A862" s="2" t="s">
        <v>70</v>
      </c>
      <c r="B862" s="2" t="n">
        <v>2</v>
      </c>
      <c r="C862" s="2" t="n">
        <v>74</v>
      </c>
      <c r="D862" s="2" t="n">
        <v>2</v>
      </c>
      <c r="E862" s="2" t="n">
        <v>190</v>
      </c>
      <c r="F862" s="2" t="n">
        <v>60</v>
      </c>
      <c r="G862" s="2" t="s">
        <v>37</v>
      </c>
      <c r="H862" s="6" t="str">
        <f aca="false">A862&amp;"_"&amp;B862</f>
        <v>retiro_2</v>
      </c>
      <c r="I862" s="6" t="str">
        <f aca="false">H862&amp;"_"&amp;C862&amp;"_"&amp;G862</f>
        <v>retiro_2_74_Tabebuia cassinoides</v>
      </c>
      <c r="J862" s="6" t="n">
        <f aca="false">IF(COUNTIF($I$2:I862,I862)=1,1,0)</f>
        <v>0</v>
      </c>
      <c r="K862" s="6" t="n">
        <f aca="false">E862*$Q$2</f>
        <v>19</v>
      </c>
      <c r="L862" s="7" t="n">
        <f aca="false">K862/PI()</f>
        <v>6.04788783749202</v>
      </c>
      <c r="M862" s="8" t="n">
        <f aca="false">PI()*L862^2/40000</f>
        <v>0.00287274672280871</v>
      </c>
      <c r="N862" s="7" t="n">
        <f aca="false">F862*$Q$3</f>
        <v>6</v>
      </c>
      <c r="O862" s="3"/>
      <c r="P862" s="3"/>
      <c r="Q862" s="3"/>
    </row>
    <row r="863" customFormat="false" ht="15" hidden="false" customHeight="false" outlineLevel="0" collapsed="false">
      <c r="A863" s="2" t="s">
        <v>70</v>
      </c>
      <c r="B863" s="2" t="n">
        <v>2</v>
      </c>
      <c r="C863" s="2" t="n">
        <v>74</v>
      </c>
      <c r="D863" s="2" t="n">
        <v>3</v>
      </c>
      <c r="E863" s="2" t="n">
        <v>130</v>
      </c>
      <c r="F863" s="2" t="n">
        <v>60</v>
      </c>
      <c r="G863" s="2" t="s">
        <v>37</v>
      </c>
      <c r="H863" s="6" t="str">
        <f aca="false">A863&amp;"_"&amp;B863</f>
        <v>retiro_2</v>
      </c>
      <c r="I863" s="6" t="str">
        <f aca="false">H863&amp;"_"&amp;C863&amp;"_"&amp;G863</f>
        <v>retiro_2_74_Tabebuia cassinoides</v>
      </c>
      <c r="J863" s="6" t="n">
        <f aca="false">IF(COUNTIF($I$2:I863,I863)=1,1,0)</f>
        <v>0</v>
      </c>
      <c r="K863" s="6" t="n">
        <f aca="false">E863*$Q$2</f>
        <v>13</v>
      </c>
      <c r="L863" s="7" t="n">
        <f aca="false">K863/PI()</f>
        <v>4.13802852038928</v>
      </c>
      <c r="M863" s="8" t="n">
        <f aca="false">PI()*L863^2/40000</f>
        <v>0.00134485926912652</v>
      </c>
      <c r="N863" s="7" t="n">
        <f aca="false">F863*$Q$3</f>
        <v>6</v>
      </c>
      <c r="O863" s="3"/>
      <c r="P863" s="3"/>
      <c r="Q863" s="3"/>
    </row>
    <row r="864" customFormat="false" ht="15" hidden="false" customHeight="false" outlineLevel="0" collapsed="false">
      <c r="A864" s="2" t="s">
        <v>70</v>
      </c>
      <c r="B864" s="2" t="n">
        <v>2</v>
      </c>
      <c r="C864" s="2" t="n">
        <v>74</v>
      </c>
      <c r="D864" s="2" t="n">
        <v>4</v>
      </c>
      <c r="E864" s="2" t="n">
        <v>90</v>
      </c>
      <c r="F864" s="2" t="n">
        <v>60</v>
      </c>
      <c r="G864" s="2" t="s">
        <v>37</v>
      </c>
      <c r="H864" s="6" t="str">
        <f aca="false">A864&amp;"_"&amp;B864</f>
        <v>retiro_2</v>
      </c>
      <c r="I864" s="6" t="str">
        <f aca="false">H864&amp;"_"&amp;C864&amp;"_"&amp;G864</f>
        <v>retiro_2_74_Tabebuia cassinoides</v>
      </c>
      <c r="J864" s="6" t="n">
        <f aca="false">IF(COUNTIF($I$2:I864,I864)=1,1,0)</f>
        <v>0</v>
      </c>
      <c r="K864" s="6" t="n">
        <f aca="false">E864*$Q$2</f>
        <v>9</v>
      </c>
      <c r="L864" s="7" t="n">
        <f aca="false">K864/PI()</f>
        <v>2.86478897565412</v>
      </c>
      <c r="M864" s="8" t="n">
        <f aca="false">PI()*L864^2/40000</f>
        <v>0.000644577519522176</v>
      </c>
      <c r="N864" s="7" t="n">
        <f aca="false">F864*$Q$3</f>
        <v>6</v>
      </c>
      <c r="O864" s="3"/>
      <c r="P864" s="3"/>
      <c r="Q864" s="3"/>
    </row>
    <row r="865" customFormat="false" ht="15" hidden="false" customHeight="false" outlineLevel="0" collapsed="false">
      <c r="A865" s="2" t="s">
        <v>70</v>
      </c>
      <c r="B865" s="2" t="n">
        <v>2</v>
      </c>
      <c r="C865" s="2" t="n">
        <v>74</v>
      </c>
      <c r="D865" s="2" t="n">
        <v>5</v>
      </c>
      <c r="E865" s="2" t="n">
        <v>150</v>
      </c>
      <c r="F865" s="2" t="n">
        <v>60</v>
      </c>
      <c r="G865" s="2" t="s">
        <v>37</v>
      </c>
      <c r="H865" s="6" t="str">
        <f aca="false">A865&amp;"_"&amp;B865</f>
        <v>retiro_2</v>
      </c>
      <c r="I865" s="6" t="str">
        <f aca="false">H865&amp;"_"&amp;C865&amp;"_"&amp;G865</f>
        <v>retiro_2_74_Tabebuia cassinoides</v>
      </c>
      <c r="J865" s="6" t="n">
        <f aca="false">IF(COUNTIF($I$2:I865,I865)=1,1,0)</f>
        <v>0</v>
      </c>
      <c r="K865" s="6" t="n">
        <f aca="false">E865*$Q$2</f>
        <v>15</v>
      </c>
      <c r="L865" s="7" t="n">
        <f aca="false">K865/PI()</f>
        <v>4.77464829275686</v>
      </c>
      <c r="M865" s="8" t="n">
        <f aca="false">PI()*L865^2/40000</f>
        <v>0.00179049310978382</v>
      </c>
      <c r="N865" s="7" t="n">
        <f aca="false">F865*$Q$3</f>
        <v>6</v>
      </c>
      <c r="O865" s="3"/>
      <c r="P865" s="3"/>
      <c r="Q865" s="3"/>
    </row>
    <row r="866" customFormat="false" ht="15" hidden="false" customHeight="false" outlineLevel="0" collapsed="false">
      <c r="A866" s="2" t="s">
        <v>70</v>
      </c>
      <c r="B866" s="2" t="n">
        <v>2</v>
      </c>
      <c r="C866" s="2" t="n">
        <v>74</v>
      </c>
      <c r="D866" s="2" t="n">
        <v>6</v>
      </c>
      <c r="E866" s="2" t="n">
        <v>155</v>
      </c>
      <c r="F866" s="2" t="n">
        <v>60</v>
      </c>
      <c r="G866" s="2" t="s">
        <v>37</v>
      </c>
      <c r="H866" s="6" t="str">
        <f aca="false">A866&amp;"_"&amp;B866</f>
        <v>retiro_2</v>
      </c>
      <c r="I866" s="6" t="str">
        <f aca="false">H866&amp;"_"&amp;C866&amp;"_"&amp;G866</f>
        <v>retiro_2_74_Tabebuia cassinoides</v>
      </c>
      <c r="J866" s="6" t="n">
        <f aca="false">IF(COUNTIF($I$2:I866,I866)=1,1,0)</f>
        <v>0</v>
      </c>
      <c r="K866" s="6" t="n">
        <f aca="false">E866*$Q$2</f>
        <v>15.5</v>
      </c>
      <c r="L866" s="7" t="n">
        <f aca="false">K866/PI()</f>
        <v>4.93380323584876</v>
      </c>
      <c r="M866" s="8" t="n">
        <f aca="false">PI()*L866^2/40000</f>
        <v>0.00191184875389139</v>
      </c>
      <c r="N866" s="7" t="n">
        <f aca="false">F866*$Q$3</f>
        <v>6</v>
      </c>
      <c r="O866" s="3"/>
      <c r="P866" s="3"/>
      <c r="Q866" s="3"/>
    </row>
    <row r="867" customFormat="false" ht="15" hidden="false" customHeight="false" outlineLevel="0" collapsed="false">
      <c r="A867" s="2" t="s">
        <v>70</v>
      </c>
      <c r="B867" s="2" t="n">
        <v>2</v>
      </c>
      <c r="C867" s="2" t="n">
        <v>74</v>
      </c>
      <c r="D867" s="2" t="n">
        <v>7</v>
      </c>
      <c r="E867" s="2" t="n">
        <v>230</v>
      </c>
      <c r="F867" s="2" t="n">
        <v>60</v>
      </c>
      <c r="G867" s="2" t="s">
        <v>37</v>
      </c>
      <c r="H867" s="6" t="str">
        <f aca="false">A867&amp;"_"&amp;B867</f>
        <v>retiro_2</v>
      </c>
      <c r="I867" s="6" t="str">
        <f aca="false">H867&amp;"_"&amp;C867&amp;"_"&amp;G867</f>
        <v>retiro_2_74_Tabebuia cassinoides</v>
      </c>
      <c r="J867" s="6" t="n">
        <f aca="false">IF(COUNTIF($I$2:I867,I867)=1,1,0)</f>
        <v>0</v>
      </c>
      <c r="K867" s="6" t="n">
        <f aca="false">E867*$Q$2</f>
        <v>23</v>
      </c>
      <c r="L867" s="7" t="n">
        <f aca="false">K867/PI()</f>
        <v>7.32112738222719</v>
      </c>
      <c r="M867" s="8" t="n">
        <f aca="false">PI()*L867^2/40000</f>
        <v>0.00420964824478063</v>
      </c>
      <c r="N867" s="7" t="n">
        <f aca="false">F867*$Q$3</f>
        <v>6</v>
      </c>
      <c r="O867" s="3"/>
      <c r="P867" s="3"/>
      <c r="Q867" s="3"/>
    </row>
    <row r="868" customFormat="false" ht="15" hidden="false" customHeight="false" outlineLevel="0" collapsed="false">
      <c r="A868" s="2" t="s">
        <v>70</v>
      </c>
      <c r="B868" s="2" t="n">
        <v>2</v>
      </c>
      <c r="C868" s="2" t="n">
        <v>75</v>
      </c>
      <c r="D868" s="2" t="n">
        <v>1</v>
      </c>
      <c r="E868" s="2" t="n">
        <v>140</v>
      </c>
      <c r="F868" s="2" t="n">
        <v>50</v>
      </c>
      <c r="G868" s="2" t="s">
        <v>74</v>
      </c>
      <c r="H868" s="6" t="str">
        <f aca="false">A868&amp;"_"&amp;B868</f>
        <v>retiro_2</v>
      </c>
      <c r="I868" s="6" t="str">
        <f aca="false">H868&amp;"_"&amp;C868&amp;"_"&amp;G868</f>
        <v>retiro_2_75_Mela 2</v>
      </c>
      <c r="J868" s="6" t="n">
        <f aca="false">IF(COUNTIF($I$2:I868,I868)=1,1,0)</f>
        <v>1</v>
      </c>
      <c r="K868" s="6" t="n">
        <f aca="false">E868*$Q$2</f>
        <v>14</v>
      </c>
      <c r="L868" s="7" t="n">
        <f aca="false">K868/PI()</f>
        <v>4.45633840657307</v>
      </c>
      <c r="M868" s="8" t="n">
        <f aca="false">PI()*L868^2/40000</f>
        <v>0.00155971844230057</v>
      </c>
      <c r="N868" s="7" t="n">
        <f aca="false">F868*$Q$3</f>
        <v>5</v>
      </c>
      <c r="O868" s="3"/>
      <c r="P868" s="3"/>
      <c r="Q868" s="3"/>
    </row>
    <row r="869" customFormat="false" ht="15" hidden="false" customHeight="false" outlineLevel="0" collapsed="false">
      <c r="A869" s="2" t="s">
        <v>70</v>
      </c>
      <c r="B869" s="2" t="n">
        <v>3</v>
      </c>
      <c r="C869" s="2" t="n">
        <v>76</v>
      </c>
      <c r="D869" s="2" t="n">
        <v>1</v>
      </c>
      <c r="E869" s="2" t="n">
        <v>230</v>
      </c>
      <c r="F869" s="2" t="n">
        <v>60</v>
      </c>
      <c r="G869" s="2" t="s">
        <v>71</v>
      </c>
      <c r="H869" s="6" t="str">
        <f aca="false">A869&amp;"_"&amp;B869</f>
        <v>retiro_3</v>
      </c>
      <c r="I869" s="6" t="str">
        <f aca="false">H869&amp;"_"&amp;C869&amp;"_"&amp;G869</f>
        <v>retiro_3_76_Mela 1</v>
      </c>
      <c r="J869" s="6" t="n">
        <f aca="false">IF(COUNTIF($I$2:I869,I869)=1,1,0)</f>
        <v>1</v>
      </c>
      <c r="K869" s="6" t="n">
        <f aca="false">E869*$Q$2</f>
        <v>23</v>
      </c>
      <c r="L869" s="7" t="n">
        <f aca="false">K869/PI()</f>
        <v>7.32112738222719</v>
      </c>
      <c r="M869" s="8" t="n">
        <f aca="false">PI()*L869^2/40000</f>
        <v>0.00420964824478063</v>
      </c>
      <c r="N869" s="7" t="n">
        <f aca="false">F869*$Q$3</f>
        <v>6</v>
      </c>
      <c r="O869" s="3"/>
      <c r="P869" s="3"/>
      <c r="Q869" s="3"/>
    </row>
    <row r="870" customFormat="false" ht="15" hidden="false" customHeight="false" outlineLevel="0" collapsed="false">
      <c r="A870" s="2" t="s">
        <v>70</v>
      </c>
      <c r="B870" s="2" t="n">
        <v>3</v>
      </c>
      <c r="C870" s="2" t="n">
        <v>77</v>
      </c>
      <c r="D870" s="2" t="n">
        <v>1</v>
      </c>
      <c r="E870" s="2" t="n">
        <v>250</v>
      </c>
      <c r="F870" s="2" t="n">
        <v>50</v>
      </c>
      <c r="G870" s="2" t="s">
        <v>75</v>
      </c>
      <c r="H870" s="6" t="str">
        <f aca="false">A870&amp;"_"&amp;B870</f>
        <v>retiro_3</v>
      </c>
      <c r="I870" s="6" t="str">
        <f aca="false">H870&amp;"_"&amp;C870&amp;"_"&amp;G870</f>
        <v>retiro_3_77_Tabebuia 1</v>
      </c>
      <c r="J870" s="6" t="n">
        <f aca="false">IF(COUNTIF($I$2:I870,I870)=1,1,0)</f>
        <v>1</v>
      </c>
      <c r="K870" s="6" t="n">
        <f aca="false">E870*$Q$2</f>
        <v>25</v>
      </c>
      <c r="L870" s="7" t="n">
        <f aca="false">K870/PI()</f>
        <v>7.95774715459477</v>
      </c>
      <c r="M870" s="8" t="n">
        <f aca="false">PI()*L870^2/40000</f>
        <v>0.00497359197162173</v>
      </c>
      <c r="N870" s="7" t="n">
        <f aca="false">F870*$Q$3</f>
        <v>5</v>
      </c>
      <c r="O870" s="3"/>
      <c r="P870" s="3"/>
      <c r="Q870" s="3"/>
    </row>
    <row r="871" customFormat="false" ht="15" hidden="false" customHeight="false" outlineLevel="0" collapsed="false">
      <c r="A871" s="2" t="s">
        <v>70</v>
      </c>
      <c r="B871" s="2" t="n">
        <v>3</v>
      </c>
      <c r="C871" s="2" t="n">
        <v>77</v>
      </c>
      <c r="D871" s="2" t="n">
        <v>2</v>
      </c>
      <c r="E871" s="2" t="n">
        <v>80</v>
      </c>
      <c r="F871" s="2" t="n">
        <v>50</v>
      </c>
      <c r="G871" s="2" t="s">
        <v>75</v>
      </c>
      <c r="H871" s="6" t="str">
        <f aca="false">A871&amp;"_"&amp;B871</f>
        <v>retiro_3</v>
      </c>
      <c r="I871" s="6" t="str">
        <f aca="false">H871&amp;"_"&amp;C871&amp;"_"&amp;G871</f>
        <v>retiro_3_77_Tabebuia 1</v>
      </c>
      <c r="J871" s="6" t="n">
        <f aca="false">IF(COUNTIF($I$2:I871,I871)=1,1,0)</f>
        <v>0</v>
      </c>
      <c r="K871" s="6" t="n">
        <f aca="false">E871*$Q$2</f>
        <v>8</v>
      </c>
      <c r="L871" s="7" t="n">
        <f aca="false">K871/PI()</f>
        <v>2.54647908947033</v>
      </c>
      <c r="M871" s="8" t="n">
        <f aca="false">PI()*L871^2/40000</f>
        <v>0.000509295817894065</v>
      </c>
      <c r="N871" s="7" t="n">
        <f aca="false">F871*$Q$3</f>
        <v>5</v>
      </c>
      <c r="O871" s="3"/>
      <c r="P871" s="3"/>
      <c r="Q871" s="3"/>
    </row>
    <row r="872" customFormat="false" ht="15" hidden="false" customHeight="false" outlineLevel="0" collapsed="false">
      <c r="A872" s="2" t="s">
        <v>70</v>
      </c>
      <c r="B872" s="2" t="n">
        <v>3</v>
      </c>
      <c r="C872" s="2" t="n">
        <v>77</v>
      </c>
      <c r="D872" s="2" t="n">
        <v>3</v>
      </c>
      <c r="E872" s="2" t="n">
        <v>100</v>
      </c>
      <c r="F872" s="2" t="n">
        <v>50</v>
      </c>
      <c r="G872" s="2" t="s">
        <v>75</v>
      </c>
      <c r="H872" s="6" t="str">
        <f aca="false">A872&amp;"_"&amp;B872</f>
        <v>retiro_3</v>
      </c>
      <c r="I872" s="6" t="str">
        <f aca="false">H872&amp;"_"&amp;C872&amp;"_"&amp;G872</f>
        <v>retiro_3_77_Tabebuia 1</v>
      </c>
      <c r="J872" s="6" t="n">
        <f aca="false">IF(COUNTIF($I$2:I872,I872)=1,1,0)</f>
        <v>0</v>
      </c>
      <c r="K872" s="6" t="n">
        <f aca="false">E872*$Q$2</f>
        <v>10</v>
      </c>
      <c r="L872" s="7" t="n">
        <f aca="false">K872/PI()</f>
        <v>3.18309886183791</v>
      </c>
      <c r="M872" s="8" t="n">
        <f aca="false">PI()*L872^2/40000</f>
        <v>0.000795774715459477</v>
      </c>
      <c r="N872" s="7" t="n">
        <f aca="false">F872*$Q$3</f>
        <v>5</v>
      </c>
      <c r="O872" s="3"/>
      <c r="P872" s="3"/>
      <c r="Q872" s="3"/>
    </row>
    <row r="873" customFormat="false" ht="15" hidden="false" customHeight="false" outlineLevel="0" collapsed="false">
      <c r="A873" s="2" t="s">
        <v>70</v>
      </c>
      <c r="B873" s="2" t="n">
        <v>3</v>
      </c>
      <c r="C873" s="2" t="n">
        <v>77</v>
      </c>
      <c r="D873" s="2" t="n">
        <v>4</v>
      </c>
      <c r="E873" s="2" t="n">
        <v>70</v>
      </c>
      <c r="F873" s="2" t="n">
        <v>50</v>
      </c>
      <c r="G873" s="2" t="s">
        <v>75</v>
      </c>
      <c r="H873" s="6" t="str">
        <f aca="false">A873&amp;"_"&amp;B873</f>
        <v>retiro_3</v>
      </c>
      <c r="I873" s="6" t="str">
        <f aca="false">H873&amp;"_"&amp;C873&amp;"_"&amp;G873</f>
        <v>retiro_3_77_Tabebuia 1</v>
      </c>
      <c r="J873" s="6" t="n">
        <f aca="false">IF(COUNTIF($I$2:I873,I873)=1,1,0)</f>
        <v>0</v>
      </c>
      <c r="K873" s="6" t="n">
        <f aca="false">E873*$Q$2</f>
        <v>7</v>
      </c>
      <c r="L873" s="7" t="n">
        <f aca="false">K873/PI()</f>
        <v>2.22816920328654</v>
      </c>
      <c r="M873" s="8" t="n">
        <f aca="false">PI()*L873^2/40000</f>
        <v>0.000389929610575144</v>
      </c>
      <c r="N873" s="7" t="n">
        <f aca="false">F873*$Q$3</f>
        <v>5</v>
      </c>
      <c r="O873" s="3"/>
      <c r="P873" s="3"/>
      <c r="Q873" s="3"/>
    </row>
    <row r="874" customFormat="false" ht="15" hidden="false" customHeight="false" outlineLevel="0" collapsed="false">
      <c r="A874" s="2" t="s">
        <v>70</v>
      </c>
      <c r="B874" s="2" t="n">
        <v>3</v>
      </c>
      <c r="C874" s="2" t="n">
        <v>77</v>
      </c>
      <c r="D874" s="2" t="n">
        <v>5</v>
      </c>
      <c r="E874" s="2" t="n">
        <v>60</v>
      </c>
      <c r="F874" s="2" t="n">
        <v>50</v>
      </c>
      <c r="G874" s="2" t="s">
        <v>75</v>
      </c>
      <c r="H874" s="6" t="str">
        <f aca="false">A874&amp;"_"&amp;B874</f>
        <v>retiro_3</v>
      </c>
      <c r="I874" s="6" t="str">
        <f aca="false">H874&amp;"_"&amp;C874&amp;"_"&amp;G874</f>
        <v>retiro_3_77_Tabebuia 1</v>
      </c>
      <c r="J874" s="6" t="n">
        <f aca="false">IF(COUNTIF($I$2:I874,I874)=1,1,0)</f>
        <v>0</v>
      </c>
      <c r="K874" s="6" t="n">
        <f aca="false">E874*$Q$2</f>
        <v>6</v>
      </c>
      <c r="L874" s="7" t="n">
        <f aca="false">K874/PI()</f>
        <v>1.90985931710274</v>
      </c>
      <c r="M874" s="8" t="n">
        <f aca="false">PI()*L874^2/40000</f>
        <v>0.000286478897565412</v>
      </c>
      <c r="N874" s="7" t="n">
        <f aca="false">F874*$Q$3</f>
        <v>5</v>
      </c>
      <c r="O874" s="3"/>
      <c r="P874" s="3"/>
      <c r="Q874" s="3"/>
    </row>
    <row r="875" customFormat="false" ht="15" hidden="false" customHeight="false" outlineLevel="0" collapsed="false">
      <c r="A875" s="2" t="s">
        <v>70</v>
      </c>
      <c r="B875" s="2" t="n">
        <v>3</v>
      </c>
      <c r="C875" s="2" t="n">
        <v>77</v>
      </c>
      <c r="D875" s="2" t="n">
        <v>6</v>
      </c>
      <c r="E875" s="2" t="n">
        <v>110</v>
      </c>
      <c r="F875" s="2" t="n">
        <v>50</v>
      </c>
      <c r="G875" s="2" t="s">
        <v>75</v>
      </c>
      <c r="H875" s="6" t="str">
        <f aca="false">A875&amp;"_"&amp;B875</f>
        <v>retiro_3</v>
      </c>
      <c r="I875" s="6" t="str">
        <f aca="false">H875&amp;"_"&amp;C875&amp;"_"&amp;G875</f>
        <v>retiro_3_77_Tabebuia 1</v>
      </c>
      <c r="J875" s="6" t="n">
        <f aca="false">IF(COUNTIF($I$2:I875,I875)=1,1,0)</f>
        <v>0</v>
      </c>
      <c r="K875" s="6" t="n">
        <f aca="false">E875*$Q$2</f>
        <v>11</v>
      </c>
      <c r="L875" s="7" t="n">
        <f aca="false">K875/PI()</f>
        <v>3.5014087480217</v>
      </c>
      <c r="M875" s="8" t="n">
        <f aca="false">PI()*L875^2/40000</f>
        <v>0.000962887405705967</v>
      </c>
      <c r="N875" s="7" t="n">
        <f aca="false">F875*$Q$3</f>
        <v>5</v>
      </c>
      <c r="O875" s="3"/>
      <c r="P875" s="3"/>
      <c r="Q875" s="3"/>
    </row>
    <row r="876" customFormat="false" ht="15" hidden="false" customHeight="false" outlineLevel="0" collapsed="false">
      <c r="A876" s="2" t="s">
        <v>70</v>
      </c>
      <c r="B876" s="2" t="n">
        <v>3</v>
      </c>
      <c r="C876" s="2" t="n">
        <v>77</v>
      </c>
      <c r="D876" s="2" t="n">
        <v>7</v>
      </c>
      <c r="E876" s="2" t="n">
        <v>110</v>
      </c>
      <c r="F876" s="2" t="n">
        <v>50</v>
      </c>
      <c r="G876" s="2" t="s">
        <v>75</v>
      </c>
      <c r="H876" s="6" t="str">
        <f aca="false">A876&amp;"_"&amp;B876</f>
        <v>retiro_3</v>
      </c>
      <c r="I876" s="6" t="str">
        <f aca="false">H876&amp;"_"&amp;C876&amp;"_"&amp;G876</f>
        <v>retiro_3_77_Tabebuia 1</v>
      </c>
      <c r="J876" s="6" t="n">
        <f aca="false">IF(COUNTIF($I$2:I876,I876)=1,1,0)</f>
        <v>0</v>
      </c>
      <c r="K876" s="6" t="n">
        <f aca="false">E876*$Q$2</f>
        <v>11</v>
      </c>
      <c r="L876" s="7" t="n">
        <f aca="false">K876/PI()</f>
        <v>3.5014087480217</v>
      </c>
      <c r="M876" s="8" t="n">
        <f aca="false">PI()*L876^2/40000</f>
        <v>0.000962887405705967</v>
      </c>
      <c r="N876" s="7" t="n">
        <f aca="false">F876*$Q$3</f>
        <v>5</v>
      </c>
      <c r="O876" s="3"/>
      <c r="P876" s="3"/>
      <c r="Q876" s="3"/>
    </row>
    <row r="877" customFormat="false" ht="15" hidden="false" customHeight="false" outlineLevel="0" collapsed="false">
      <c r="A877" s="2" t="s">
        <v>70</v>
      </c>
      <c r="B877" s="2" t="n">
        <v>3</v>
      </c>
      <c r="C877" s="2" t="n">
        <v>78</v>
      </c>
      <c r="D877" s="2" t="n">
        <v>1</v>
      </c>
      <c r="E877" s="2" t="n">
        <v>300</v>
      </c>
      <c r="F877" s="2" t="n">
        <v>40</v>
      </c>
      <c r="G877" s="2" t="s">
        <v>76</v>
      </c>
      <c r="H877" s="6" t="str">
        <f aca="false">A877&amp;"_"&amp;B877</f>
        <v>retiro_3</v>
      </c>
      <c r="I877" s="6" t="str">
        <f aca="false">H877&amp;"_"&amp;C877&amp;"_"&amp;G877</f>
        <v>retiro_3_78_Eugenia oblongata</v>
      </c>
      <c r="J877" s="6" t="n">
        <f aca="false">IF(COUNTIF($I$2:I877,I877)=1,1,0)</f>
        <v>1</v>
      </c>
      <c r="K877" s="6" t="n">
        <f aca="false">E877*$Q$2</f>
        <v>30</v>
      </c>
      <c r="L877" s="7" t="n">
        <f aca="false">K877/PI()</f>
        <v>9.54929658551372</v>
      </c>
      <c r="M877" s="8" t="n">
        <f aca="false">PI()*L877^2/40000</f>
        <v>0.00716197243913529</v>
      </c>
      <c r="N877" s="7" t="n">
        <f aca="false">F877*$Q$3</f>
        <v>4</v>
      </c>
      <c r="O877" s="3"/>
      <c r="P877" s="3"/>
      <c r="Q877" s="3"/>
    </row>
    <row r="878" customFormat="false" ht="15" hidden="false" customHeight="false" outlineLevel="0" collapsed="false">
      <c r="A878" s="2" t="s">
        <v>70</v>
      </c>
      <c r="B878" s="2" t="n">
        <v>3</v>
      </c>
      <c r="C878" s="2" t="n">
        <v>79</v>
      </c>
      <c r="D878" s="2" t="n">
        <v>1</v>
      </c>
      <c r="E878" s="2" t="n">
        <v>450</v>
      </c>
      <c r="F878" s="2" t="n">
        <v>100</v>
      </c>
      <c r="G878" s="2" t="s">
        <v>76</v>
      </c>
      <c r="H878" s="6" t="str">
        <f aca="false">A878&amp;"_"&amp;B878</f>
        <v>retiro_3</v>
      </c>
      <c r="I878" s="6" t="str">
        <f aca="false">H878&amp;"_"&amp;C878&amp;"_"&amp;G878</f>
        <v>retiro_3_79_Eugenia oblongata</v>
      </c>
      <c r="J878" s="6" t="n">
        <f aca="false">IF(COUNTIF($I$2:I878,I878)=1,1,0)</f>
        <v>1</v>
      </c>
      <c r="K878" s="6" t="n">
        <f aca="false">E878*$Q$2</f>
        <v>45</v>
      </c>
      <c r="L878" s="7" t="n">
        <f aca="false">K878/PI()</f>
        <v>14.3239448782706</v>
      </c>
      <c r="M878" s="8" t="n">
        <f aca="false">PI()*L878^2/40000</f>
        <v>0.0161144379880544</v>
      </c>
      <c r="N878" s="7" t="n">
        <f aca="false">F878*$Q$3</f>
        <v>10</v>
      </c>
      <c r="O878" s="3"/>
      <c r="P878" s="3"/>
      <c r="Q878" s="3"/>
    </row>
    <row r="879" customFormat="false" ht="15" hidden="false" customHeight="false" outlineLevel="0" collapsed="false">
      <c r="A879" s="2" t="s">
        <v>70</v>
      </c>
      <c r="B879" s="2" t="n">
        <v>3</v>
      </c>
      <c r="C879" s="2" t="n">
        <v>80</v>
      </c>
      <c r="D879" s="2" t="n">
        <v>1</v>
      </c>
      <c r="E879" s="2" t="n">
        <v>220</v>
      </c>
      <c r="F879" s="2" t="n">
        <v>20</v>
      </c>
      <c r="G879" s="2" t="s">
        <v>74</v>
      </c>
      <c r="H879" s="6" t="str">
        <f aca="false">A879&amp;"_"&amp;B879</f>
        <v>retiro_3</v>
      </c>
      <c r="I879" s="6" t="str">
        <f aca="false">H879&amp;"_"&amp;C879&amp;"_"&amp;G879</f>
        <v>retiro_3_80_Mela 2</v>
      </c>
      <c r="J879" s="6" t="n">
        <f aca="false">IF(COUNTIF($I$2:I879,I879)=1,1,0)</f>
        <v>1</v>
      </c>
      <c r="K879" s="6" t="n">
        <f aca="false">E879*$Q$2</f>
        <v>22</v>
      </c>
      <c r="L879" s="7" t="n">
        <f aca="false">K879/PI()</f>
        <v>7.0028174960434</v>
      </c>
      <c r="M879" s="8" t="n">
        <f aca="false">PI()*L879^2/40000</f>
        <v>0.00385154962282387</v>
      </c>
      <c r="N879" s="7" t="n">
        <f aca="false">F879*$Q$3</f>
        <v>2</v>
      </c>
      <c r="O879" s="3"/>
      <c r="P879" s="3"/>
      <c r="Q879" s="3"/>
    </row>
    <row r="880" customFormat="false" ht="15" hidden="false" customHeight="false" outlineLevel="0" collapsed="false">
      <c r="A880" s="2" t="s">
        <v>70</v>
      </c>
      <c r="B880" s="2" t="n">
        <v>3</v>
      </c>
      <c r="C880" s="2" t="n">
        <v>81</v>
      </c>
      <c r="D880" s="2" t="n">
        <v>1</v>
      </c>
      <c r="E880" s="2" t="n">
        <v>490</v>
      </c>
      <c r="F880" s="2" t="n">
        <v>100</v>
      </c>
      <c r="G880" s="2" t="s">
        <v>60</v>
      </c>
      <c r="H880" s="6" t="str">
        <f aca="false">A880&amp;"_"&amp;B880</f>
        <v>retiro_3</v>
      </c>
      <c r="I880" s="6" t="str">
        <f aca="false">H880&amp;"_"&amp;C880&amp;"_"&amp;G880</f>
        <v>retiro_3_81_Alchornea triplinervia</v>
      </c>
      <c r="J880" s="6" t="n">
        <f aca="false">IF(COUNTIF($I$2:I880,I880)=1,1,0)</f>
        <v>1</v>
      </c>
      <c r="K880" s="6" t="n">
        <f aca="false">E880*$Q$2</f>
        <v>49</v>
      </c>
      <c r="L880" s="7" t="n">
        <f aca="false">K880/PI()</f>
        <v>15.5971844230057</v>
      </c>
      <c r="M880" s="8" t="n">
        <f aca="false">PI()*L880^2/40000</f>
        <v>0.019106550918182</v>
      </c>
      <c r="N880" s="7" t="n">
        <f aca="false">F880*$Q$3</f>
        <v>10</v>
      </c>
      <c r="O880" s="3"/>
      <c r="P880" s="3"/>
      <c r="Q880" s="3"/>
    </row>
    <row r="881" customFormat="false" ht="15" hidden="false" customHeight="false" outlineLevel="0" collapsed="false">
      <c r="A881" s="2" t="s">
        <v>70</v>
      </c>
      <c r="B881" s="2" t="n">
        <v>3</v>
      </c>
      <c r="C881" s="2" t="n">
        <v>82</v>
      </c>
      <c r="D881" s="2" t="n">
        <v>1</v>
      </c>
      <c r="E881" s="2" t="n">
        <v>250</v>
      </c>
      <c r="F881" s="2" t="n">
        <v>60</v>
      </c>
      <c r="G881" s="2" t="s">
        <v>75</v>
      </c>
      <c r="H881" s="6" t="str">
        <f aca="false">A881&amp;"_"&amp;B881</f>
        <v>retiro_3</v>
      </c>
      <c r="I881" s="6" t="str">
        <f aca="false">H881&amp;"_"&amp;C881&amp;"_"&amp;G881</f>
        <v>retiro_3_82_Tabebuia 1</v>
      </c>
      <c r="J881" s="6" t="n">
        <f aca="false">IF(COUNTIF($I$2:I881,I881)=1,1,0)</f>
        <v>1</v>
      </c>
      <c r="K881" s="6" t="n">
        <f aca="false">E881*$Q$2</f>
        <v>25</v>
      </c>
      <c r="L881" s="7" t="n">
        <f aca="false">K881/PI()</f>
        <v>7.95774715459477</v>
      </c>
      <c r="M881" s="8" t="n">
        <f aca="false">PI()*L881^2/40000</f>
        <v>0.00497359197162173</v>
      </c>
      <c r="N881" s="7" t="n">
        <f aca="false">F881*$Q$3</f>
        <v>6</v>
      </c>
      <c r="O881" s="3"/>
      <c r="P881" s="3"/>
      <c r="Q881" s="3"/>
    </row>
    <row r="882" customFormat="false" ht="15" hidden="false" customHeight="false" outlineLevel="0" collapsed="false">
      <c r="A882" s="2" t="s">
        <v>70</v>
      </c>
      <c r="B882" s="2" t="n">
        <v>3</v>
      </c>
      <c r="C882" s="2" t="n">
        <v>82</v>
      </c>
      <c r="D882" s="2" t="n">
        <v>2</v>
      </c>
      <c r="E882" s="2" t="n">
        <v>410</v>
      </c>
      <c r="F882" s="2" t="n">
        <v>60</v>
      </c>
      <c r="G882" s="2" t="s">
        <v>75</v>
      </c>
      <c r="H882" s="6" t="str">
        <f aca="false">A882&amp;"_"&amp;B882</f>
        <v>retiro_3</v>
      </c>
      <c r="I882" s="6" t="str">
        <f aca="false">H882&amp;"_"&amp;C882&amp;"_"&amp;G882</f>
        <v>retiro_3_82_Tabebuia 1</v>
      </c>
      <c r="J882" s="6" t="n">
        <f aca="false">IF(COUNTIF($I$2:I882,I882)=1,1,0)</f>
        <v>0</v>
      </c>
      <c r="K882" s="6" t="n">
        <f aca="false">E882*$Q$2</f>
        <v>41</v>
      </c>
      <c r="L882" s="7" t="n">
        <f aca="false">K882/PI()</f>
        <v>13.0507053335354</v>
      </c>
      <c r="M882" s="8" t="n">
        <f aca="false">PI()*L882^2/40000</f>
        <v>0.0133769729668738</v>
      </c>
      <c r="N882" s="7" t="n">
        <f aca="false">F882*$Q$3</f>
        <v>6</v>
      </c>
      <c r="O882" s="3"/>
      <c r="P882" s="3"/>
      <c r="Q882" s="3"/>
    </row>
    <row r="883" customFormat="false" ht="15" hidden="false" customHeight="false" outlineLevel="0" collapsed="false">
      <c r="A883" s="2" t="s">
        <v>70</v>
      </c>
      <c r="B883" s="2" t="n">
        <v>3</v>
      </c>
      <c r="C883" s="2" t="n">
        <v>83</v>
      </c>
      <c r="D883" s="2" t="n">
        <v>1</v>
      </c>
      <c r="E883" s="2" t="n">
        <v>190</v>
      </c>
      <c r="F883" s="2" t="n">
        <v>50</v>
      </c>
      <c r="G883" s="2" t="s">
        <v>75</v>
      </c>
      <c r="H883" s="6" t="str">
        <f aca="false">A883&amp;"_"&amp;B883</f>
        <v>retiro_3</v>
      </c>
      <c r="I883" s="6" t="str">
        <f aca="false">H883&amp;"_"&amp;C883&amp;"_"&amp;G883</f>
        <v>retiro_3_83_Tabebuia 1</v>
      </c>
      <c r="J883" s="6" t="n">
        <f aca="false">IF(COUNTIF($I$2:I883,I883)=1,1,0)</f>
        <v>1</v>
      </c>
      <c r="K883" s="6" t="n">
        <f aca="false">E883*$Q$2</f>
        <v>19</v>
      </c>
      <c r="L883" s="7" t="n">
        <f aca="false">K883/PI()</f>
        <v>6.04788783749202</v>
      </c>
      <c r="M883" s="8" t="n">
        <f aca="false">PI()*L883^2/40000</f>
        <v>0.00287274672280871</v>
      </c>
      <c r="N883" s="7" t="n">
        <f aca="false">F883*$Q$3</f>
        <v>5</v>
      </c>
      <c r="O883" s="3"/>
      <c r="P883" s="3"/>
      <c r="Q883" s="3"/>
    </row>
    <row r="884" customFormat="false" ht="15" hidden="false" customHeight="false" outlineLevel="0" collapsed="false">
      <c r="A884" s="2" t="s">
        <v>70</v>
      </c>
      <c r="B884" s="2" t="n">
        <v>3</v>
      </c>
      <c r="C884" s="2" t="n">
        <v>84</v>
      </c>
      <c r="D884" s="2" t="n">
        <v>1</v>
      </c>
      <c r="E884" s="2" t="n">
        <v>250</v>
      </c>
      <c r="F884" s="2" t="n">
        <v>60</v>
      </c>
      <c r="G884" s="2" t="s">
        <v>71</v>
      </c>
      <c r="H884" s="6" t="str">
        <f aca="false">A884&amp;"_"&amp;B884</f>
        <v>retiro_3</v>
      </c>
      <c r="I884" s="6" t="str">
        <f aca="false">H884&amp;"_"&amp;C884&amp;"_"&amp;G884</f>
        <v>retiro_3_84_Mela 1</v>
      </c>
      <c r="J884" s="6" t="n">
        <f aca="false">IF(COUNTIF($I$2:I884,I884)=1,1,0)</f>
        <v>1</v>
      </c>
      <c r="K884" s="6" t="n">
        <f aca="false">E884*$Q$2</f>
        <v>25</v>
      </c>
      <c r="L884" s="7" t="n">
        <f aca="false">K884/PI()</f>
        <v>7.95774715459477</v>
      </c>
      <c r="M884" s="8" t="n">
        <f aca="false">PI()*L884^2/40000</f>
        <v>0.00497359197162173</v>
      </c>
      <c r="N884" s="7" t="n">
        <f aca="false">F884*$Q$3</f>
        <v>6</v>
      </c>
      <c r="O884" s="3"/>
      <c r="P884" s="3"/>
      <c r="Q884" s="3"/>
    </row>
    <row r="885" customFormat="false" ht="15" hidden="false" customHeight="false" outlineLevel="0" collapsed="false">
      <c r="A885" s="2" t="s">
        <v>70</v>
      </c>
      <c r="B885" s="2" t="n">
        <v>3</v>
      </c>
      <c r="C885" s="2" t="n">
        <v>85</v>
      </c>
      <c r="D885" s="2" t="n">
        <v>1</v>
      </c>
      <c r="E885" s="2" t="n">
        <v>210</v>
      </c>
      <c r="F885" s="2" t="n">
        <v>70</v>
      </c>
      <c r="G885" s="2" t="s">
        <v>71</v>
      </c>
      <c r="H885" s="6" t="str">
        <f aca="false">A885&amp;"_"&amp;B885</f>
        <v>retiro_3</v>
      </c>
      <c r="I885" s="6" t="str">
        <f aca="false">H885&amp;"_"&amp;C885&amp;"_"&amp;G885</f>
        <v>retiro_3_85_Mela 1</v>
      </c>
      <c r="J885" s="6" t="n">
        <f aca="false">IF(COUNTIF($I$2:I885,I885)=1,1,0)</f>
        <v>1</v>
      </c>
      <c r="K885" s="6" t="n">
        <f aca="false">E885*$Q$2</f>
        <v>21</v>
      </c>
      <c r="L885" s="7" t="n">
        <f aca="false">K885/PI()</f>
        <v>6.68450760985961</v>
      </c>
      <c r="M885" s="8" t="n">
        <f aca="false">PI()*L885^2/40000</f>
        <v>0.00350936649517629</v>
      </c>
      <c r="N885" s="7" t="n">
        <f aca="false">F885*$Q$3</f>
        <v>7</v>
      </c>
      <c r="O885" s="3"/>
      <c r="P885" s="3"/>
      <c r="Q885" s="3"/>
    </row>
    <row r="886" customFormat="false" ht="15" hidden="false" customHeight="false" outlineLevel="0" collapsed="false">
      <c r="A886" s="2" t="s">
        <v>70</v>
      </c>
      <c r="B886" s="2" t="n">
        <v>3</v>
      </c>
      <c r="C886" s="2" t="n">
        <v>85</v>
      </c>
      <c r="D886" s="2" t="n">
        <v>2</v>
      </c>
      <c r="E886" s="2" t="n">
        <v>130</v>
      </c>
      <c r="F886" s="2" t="n">
        <v>70</v>
      </c>
      <c r="G886" s="2" t="s">
        <v>71</v>
      </c>
      <c r="H886" s="6" t="str">
        <f aca="false">A886&amp;"_"&amp;B886</f>
        <v>retiro_3</v>
      </c>
      <c r="I886" s="6" t="str">
        <f aca="false">H886&amp;"_"&amp;C886&amp;"_"&amp;G886</f>
        <v>retiro_3_85_Mela 1</v>
      </c>
      <c r="J886" s="6" t="n">
        <f aca="false">IF(COUNTIF($I$2:I886,I886)=1,1,0)</f>
        <v>0</v>
      </c>
      <c r="K886" s="6" t="n">
        <f aca="false">E886*$Q$2</f>
        <v>13</v>
      </c>
      <c r="L886" s="7" t="n">
        <f aca="false">K886/PI()</f>
        <v>4.13802852038928</v>
      </c>
      <c r="M886" s="8" t="n">
        <f aca="false">PI()*L886^2/40000</f>
        <v>0.00134485926912652</v>
      </c>
      <c r="N886" s="7" t="n">
        <f aca="false">F886*$Q$3</f>
        <v>7</v>
      </c>
      <c r="O886" s="3"/>
      <c r="P886" s="3"/>
      <c r="Q886" s="3"/>
    </row>
    <row r="887" customFormat="false" ht="15" hidden="false" customHeight="false" outlineLevel="0" collapsed="false">
      <c r="A887" s="2" t="s">
        <v>70</v>
      </c>
      <c r="B887" s="2" t="n">
        <v>3</v>
      </c>
      <c r="C887" s="2" t="n">
        <v>86</v>
      </c>
      <c r="D887" s="2" t="n">
        <v>1</v>
      </c>
      <c r="E887" s="2" t="n">
        <v>160</v>
      </c>
      <c r="F887" s="2" t="n">
        <v>50</v>
      </c>
      <c r="G887" s="2" t="s">
        <v>37</v>
      </c>
      <c r="H887" s="6" t="str">
        <f aca="false">A887&amp;"_"&amp;B887</f>
        <v>retiro_3</v>
      </c>
      <c r="I887" s="6" t="str">
        <f aca="false">H887&amp;"_"&amp;C887&amp;"_"&amp;G887</f>
        <v>retiro_3_86_Tabebuia cassinoides</v>
      </c>
      <c r="J887" s="6" t="n">
        <f aca="false">IF(COUNTIF($I$2:I887,I887)=1,1,0)</f>
        <v>1</v>
      </c>
      <c r="K887" s="6" t="n">
        <f aca="false">E887*$Q$2</f>
        <v>16</v>
      </c>
      <c r="L887" s="7" t="n">
        <f aca="false">K887/PI()</f>
        <v>5.09295817894065</v>
      </c>
      <c r="M887" s="8" t="n">
        <f aca="false">PI()*L887^2/40000</f>
        <v>0.00203718327157626</v>
      </c>
      <c r="N887" s="7" t="n">
        <f aca="false">F887*$Q$3</f>
        <v>5</v>
      </c>
      <c r="O887" s="3"/>
      <c r="P887" s="3"/>
      <c r="Q887" s="3"/>
    </row>
    <row r="888" customFormat="false" ht="15" hidden="false" customHeight="false" outlineLevel="0" collapsed="false">
      <c r="A888" s="2" t="s">
        <v>70</v>
      </c>
      <c r="B888" s="2" t="n">
        <v>3</v>
      </c>
      <c r="C888" s="2" t="n">
        <v>87</v>
      </c>
      <c r="D888" s="2" t="n">
        <v>1</v>
      </c>
      <c r="E888" s="2" t="n">
        <v>210</v>
      </c>
      <c r="F888" s="2" t="n">
        <v>20</v>
      </c>
      <c r="G888" s="2" t="s">
        <v>71</v>
      </c>
      <c r="H888" s="6" t="str">
        <f aca="false">A888&amp;"_"&amp;B888</f>
        <v>retiro_3</v>
      </c>
      <c r="I888" s="6" t="str">
        <f aca="false">H888&amp;"_"&amp;C888&amp;"_"&amp;G888</f>
        <v>retiro_3_87_Mela 1</v>
      </c>
      <c r="J888" s="6" t="n">
        <f aca="false">IF(COUNTIF($I$2:I888,I888)=1,1,0)</f>
        <v>1</v>
      </c>
      <c r="K888" s="6" t="n">
        <f aca="false">E888*$Q$2</f>
        <v>21</v>
      </c>
      <c r="L888" s="7" t="n">
        <f aca="false">K888/PI()</f>
        <v>6.68450760985961</v>
      </c>
      <c r="M888" s="8" t="n">
        <f aca="false">PI()*L888^2/40000</f>
        <v>0.00350936649517629</v>
      </c>
      <c r="N888" s="7" t="n">
        <f aca="false">F888*$Q$3</f>
        <v>2</v>
      </c>
      <c r="O888" s="3"/>
      <c r="P888" s="3"/>
      <c r="Q888" s="3"/>
    </row>
    <row r="889" customFormat="false" ht="15" hidden="false" customHeight="false" outlineLevel="0" collapsed="false">
      <c r="A889" s="2" t="s">
        <v>70</v>
      </c>
      <c r="B889" s="2" t="n">
        <v>3</v>
      </c>
      <c r="C889" s="2" t="n">
        <v>88</v>
      </c>
      <c r="D889" s="2" t="n">
        <v>1</v>
      </c>
      <c r="E889" s="2" t="n">
        <v>230</v>
      </c>
      <c r="F889" s="2" t="n">
        <v>90</v>
      </c>
      <c r="G889" s="2" t="s">
        <v>37</v>
      </c>
      <c r="H889" s="6" t="str">
        <f aca="false">A889&amp;"_"&amp;B889</f>
        <v>retiro_3</v>
      </c>
      <c r="I889" s="6" t="str">
        <f aca="false">H889&amp;"_"&amp;C889&amp;"_"&amp;G889</f>
        <v>retiro_3_88_Tabebuia cassinoides</v>
      </c>
      <c r="J889" s="6" t="n">
        <f aca="false">IF(COUNTIF($I$2:I889,I889)=1,1,0)</f>
        <v>1</v>
      </c>
      <c r="K889" s="6" t="n">
        <f aca="false">E889*$Q$2</f>
        <v>23</v>
      </c>
      <c r="L889" s="7" t="n">
        <f aca="false">K889/PI()</f>
        <v>7.32112738222719</v>
      </c>
      <c r="M889" s="8" t="n">
        <f aca="false">PI()*L889^2/40000</f>
        <v>0.00420964824478063</v>
      </c>
      <c r="N889" s="7" t="n">
        <f aca="false">F889*$Q$3</f>
        <v>9</v>
      </c>
      <c r="O889" s="3"/>
      <c r="P889" s="3"/>
      <c r="Q889" s="3"/>
    </row>
    <row r="890" customFormat="false" ht="15" hidden="false" customHeight="false" outlineLevel="0" collapsed="false">
      <c r="A890" s="2" t="s">
        <v>70</v>
      </c>
      <c r="B890" s="2" t="n">
        <v>3</v>
      </c>
      <c r="C890" s="2" t="n">
        <v>89</v>
      </c>
      <c r="D890" s="2" t="n">
        <v>1</v>
      </c>
      <c r="E890" s="2" t="n">
        <v>270</v>
      </c>
      <c r="F890" s="2" t="n">
        <v>60</v>
      </c>
      <c r="G890" s="2" t="s">
        <v>37</v>
      </c>
      <c r="H890" s="6" t="str">
        <f aca="false">A890&amp;"_"&amp;B890</f>
        <v>retiro_3</v>
      </c>
      <c r="I890" s="6" t="str">
        <f aca="false">H890&amp;"_"&amp;C890&amp;"_"&amp;G890</f>
        <v>retiro_3_89_Tabebuia cassinoides</v>
      </c>
      <c r="J890" s="6" t="n">
        <f aca="false">IF(COUNTIF($I$2:I890,I890)=1,1,0)</f>
        <v>1</v>
      </c>
      <c r="K890" s="6" t="n">
        <f aca="false">E890*$Q$2</f>
        <v>27</v>
      </c>
      <c r="L890" s="7" t="n">
        <f aca="false">K890/PI()</f>
        <v>8.59436692696235</v>
      </c>
      <c r="M890" s="8" t="n">
        <f aca="false">PI()*L890^2/40000</f>
        <v>0.00580119767569958</v>
      </c>
      <c r="N890" s="7" t="n">
        <f aca="false">F890*$Q$3</f>
        <v>6</v>
      </c>
      <c r="O890" s="3"/>
      <c r="P890" s="3"/>
      <c r="Q890" s="3"/>
    </row>
    <row r="891" customFormat="false" ht="15" hidden="false" customHeight="false" outlineLevel="0" collapsed="false">
      <c r="A891" s="2" t="s">
        <v>70</v>
      </c>
      <c r="B891" s="2" t="n">
        <v>3</v>
      </c>
      <c r="C891" s="2" t="n">
        <v>90</v>
      </c>
      <c r="D891" s="2" t="n">
        <v>1</v>
      </c>
      <c r="E891" s="2" t="n">
        <v>230</v>
      </c>
      <c r="F891" s="2" t="n">
        <v>60</v>
      </c>
      <c r="G891" s="2" t="s">
        <v>71</v>
      </c>
      <c r="H891" s="6" t="str">
        <f aca="false">A891&amp;"_"&amp;B891</f>
        <v>retiro_3</v>
      </c>
      <c r="I891" s="6" t="str">
        <f aca="false">H891&amp;"_"&amp;C891&amp;"_"&amp;G891</f>
        <v>retiro_3_90_Mela 1</v>
      </c>
      <c r="J891" s="6" t="n">
        <f aca="false">IF(COUNTIF($I$2:I891,I891)=1,1,0)</f>
        <v>1</v>
      </c>
      <c r="K891" s="6" t="n">
        <f aca="false">E891*$Q$2</f>
        <v>23</v>
      </c>
      <c r="L891" s="7" t="n">
        <f aca="false">K891/PI()</f>
        <v>7.32112738222719</v>
      </c>
      <c r="M891" s="8" t="n">
        <f aca="false">PI()*L891^2/40000</f>
        <v>0.00420964824478063</v>
      </c>
      <c r="N891" s="7" t="n">
        <f aca="false">F891*$Q$3</f>
        <v>6</v>
      </c>
      <c r="O891" s="3"/>
      <c r="P891" s="3"/>
      <c r="Q891" s="3"/>
    </row>
    <row r="892" customFormat="false" ht="15" hidden="false" customHeight="false" outlineLevel="0" collapsed="false">
      <c r="A892" s="2" t="s">
        <v>70</v>
      </c>
      <c r="B892" s="2" t="n">
        <v>3</v>
      </c>
      <c r="C892" s="2" t="n">
        <v>91</v>
      </c>
      <c r="D892" s="2" t="n">
        <v>1</v>
      </c>
      <c r="E892" s="2" t="n">
        <v>340</v>
      </c>
      <c r="F892" s="2" t="n">
        <v>50</v>
      </c>
      <c r="G892" s="2" t="s">
        <v>71</v>
      </c>
      <c r="H892" s="6" t="str">
        <f aca="false">A892&amp;"_"&amp;B892</f>
        <v>retiro_3</v>
      </c>
      <c r="I892" s="6" t="str">
        <f aca="false">H892&amp;"_"&amp;C892&amp;"_"&amp;G892</f>
        <v>retiro_3_91_Mela 1</v>
      </c>
      <c r="J892" s="6" t="n">
        <f aca="false">IF(COUNTIF($I$2:I892,I892)=1,1,0)</f>
        <v>1</v>
      </c>
      <c r="K892" s="6" t="n">
        <f aca="false">E892*$Q$2</f>
        <v>34</v>
      </c>
      <c r="L892" s="7" t="n">
        <f aca="false">K892/PI()</f>
        <v>10.8225361302489</v>
      </c>
      <c r="M892" s="8" t="n">
        <f aca="false">PI()*L892^2/40000</f>
        <v>0.00919915571071155</v>
      </c>
      <c r="N892" s="7" t="n">
        <f aca="false">F892*$Q$3</f>
        <v>5</v>
      </c>
      <c r="O892" s="3"/>
      <c r="P892" s="3"/>
      <c r="Q892" s="3"/>
    </row>
    <row r="893" customFormat="false" ht="15" hidden="false" customHeight="false" outlineLevel="0" collapsed="false">
      <c r="A893" s="2" t="s">
        <v>70</v>
      </c>
      <c r="B893" s="2" t="n">
        <v>3</v>
      </c>
      <c r="C893" s="2" t="n">
        <v>92</v>
      </c>
      <c r="D893" s="2" t="n">
        <v>1</v>
      </c>
      <c r="E893" s="2" t="n">
        <v>190</v>
      </c>
      <c r="F893" s="2" t="n">
        <v>50</v>
      </c>
      <c r="G893" s="2" t="s">
        <v>71</v>
      </c>
      <c r="H893" s="6" t="str">
        <f aca="false">A893&amp;"_"&amp;B893</f>
        <v>retiro_3</v>
      </c>
      <c r="I893" s="6" t="str">
        <f aca="false">H893&amp;"_"&amp;C893&amp;"_"&amp;G893</f>
        <v>retiro_3_92_Mela 1</v>
      </c>
      <c r="J893" s="6" t="n">
        <f aca="false">IF(COUNTIF($I$2:I893,I893)=1,1,0)</f>
        <v>1</v>
      </c>
      <c r="K893" s="6" t="n">
        <f aca="false">E893*$Q$2</f>
        <v>19</v>
      </c>
      <c r="L893" s="7" t="n">
        <f aca="false">K893/PI()</f>
        <v>6.04788783749202</v>
      </c>
      <c r="M893" s="8" t="n">
        <f aca="false">PI()*L893^2/40000</f>
        <v>0.00287274672280871</v>
      </c>
      <c r="N893" s="7" t="n">
        <f aca="false">F893*$Q$3</f>
        <v>5</v>
      </c>
      <c r="O893" s="3"/>
      <c r="P893" s="3"/>
      <c r="Q893" s="3"/>
    </row>
    <row r="894" customFormat="false" ht="15" hidden="false" customHeight="false" outlineLevel="0" collapsed="false">
      <c r="A894" s="2" t="s">
        <v>70</v>
      </c>
      <c r="B894" s="2" t="n">
        <v>3</v>
      </c>
      <c r="C894" s="2" t="n">
        <v>93</v>
      </c>
      <c r="D894" s="2" t="n">
        <v>1</v>
      </c>
      <c r="E894" s="2" t="n">
        <v>240</v>
      </c>
      <c r="F894" s="2" t="n">
        <v>70</v>
      </c>
      <c r="G894" s="2" t="s">
        <v>71</v>
      </c>
      <c r="H894" s="6" t="str">
        <f aca="false">A894&amp;"_"&amp;B894</f>
        <v>retiro_3</v>
      </c>
      <c r="I894" s="6" t="str">
        <f aca="false">H894&amp;"_"&amp;C894&amp;"_"&amp;G894</f>
        <v>retiro_3_93_Mela 1</v>
      </c>
      <c r="J894" s="6" t="n">
        <f aca="false">IF(COUNTIF($I$2:I894,I894)=1,1,0)</f>
        <v>1</v>
      </c>
      <c r="K894" s="6" t="n">
        <f aca="false">E894*$Q$2</f>
        <v>24</v>
      </c>
      <c r="L894" s="7" t="n">
        <f aca="false">K894/PI()</f>
        <v>7.63943726841098</v>
      </c>
      <c r="M894" s="8" t="n">
        <f aca="false">PI()*L894^2/40000</f>
        <v>0.00458366236104659</v>
      </c>
      <c r="N894" s="7" t="n">
        <f aca="false">F894*$Q$3</f>
        <v>7</v>
      </c>
      <c r="O894" s="3"/>
      <c r="P894" s="3"/>
      <c r="Q894" s="3"/>
    </row>
    <row r="895" customFormat="false" ht="15" hidden="false" customHeight="false" outlineLevel="0" collapsed="false">
      <c r="A895" s="2" t="s">
        <v>70</v>
      </c>
      <c r="B895" s="2" t="n">
        <v>3</v>
      </c>
      <c r="C895" s="2" t="n">
        <v>94</v>
      </c>
      <c r="D895" s="2" t="n">
        <v>1</v>
      </c>
      <c r="E895" s="2" t="n">
        <v>170</v>
      </c>
      <c r="F895" s="2" t="n">
        <v>50</v>
      </c>
      <c r="G895" s="2" t="s">
        <v>37</v>
      </c>
      <c r="H895" s="6" t="str">
        <f aca="false">A895&amp;"_"&amp;B895</f>
        <v>retiro_3</v>
      </c>
      <c r="I895" s="6" t="str">
        <f aca="false">H895&amp;"_"&amp;C895&amp;"_"&amp;G895</f>
        <v>retiro_3_94_Tabebuia cassinoides</v>
      </c>
      <c r="J895" s="6" t="n">
        <f aca="false">IF(COUNTIF($I$2:I895,I895)=1,1,0)</f>
        <v>1</v>
      </c>
      <c r="K895" s="6" t="n">
        <f aca="false">E895*$Q$2</f>
        <v>17</v>
      </c>
      <c r="L895" s="7" t="n">
        <f aca="false">K895/PI()</f>
        <v>5.41126806512444</v>
      </c>
      <c r="M895" s="8" t="n">
        <f aca="false">PI()*L895^2/40000</f>
        <v>0.00229978892767789</v>
      </c>
      <c r="N895" s="7" t="n">
        <f aca="false">F895*$Q$3</f>
        <v>5</v>
      </c>
      <c r="O895" s="3"/>
      <c r="P895" s="3"/>
      <c r="Q895" s="3"/>
    </row>
    <row r="896" customFormat="false" ht="15" hidden="false" customHeight="false" outlineLevel="0" collapsed="false">
      <c r="A896" s="2" t="s">
        <v>70</v>
      </c>
      <c r="B896" s="2" t="n">
        <v>3</v>
      </c>
      <c r="C896" s="2" t="n">
        <v>95</v>
      </c>
      <c r="D896" s="2" t="n">
        <v>1</v>
      </c>
      <c r="E896" s="2" t="n">
        <v>160</v>
      </c>
      <c r="F896" s="2" t="n">
        <v>50</v>
      </c>
      <c r="G896" s="2" t="s">
        <v>71</v>
      </c>
      <c r="H896" s="6" t="str">
        <f aca="false">A896&amp;"_"&amp;B896</f>
        <v>retiro_3</v>
      </c>
      <c r="I896" s="6" t="str">
        <f aca="false">H896&amp;"_"&amp;C896&amp;"_"&amp;G896</f>
        <v>retiro_3_95_Mela 1</v>
      </c>
      <c r="J896" s="6" t="n">
        <f aca="false">IF(COUNTIF($I$2:I896,I896)=1,1,0)</f>
        <v>1</v>
      </c>
      <c r="K896" s="6" t="n">
        <f aca="false">E896*$Q$2</f>
        <v>16</v>
      </c>
      <c r="L896" s="7" t="n">
        <f aca="false">K896/PI()</f>
        <v>5.09295817894065</v>
      </c>
      <c r="M896" s="8" t="n">
        <f aca="false">PI()*L896^2/40000</f>
        <v>0.00203718327157626</v>
      </c>
      <c r="N896" s="7" t="n">
        <f aca="false">F896*$Q$3</f>
        <v>5</v>
      </c>
      <c r="O896" s="3"/>
      <c r="P896" s="3"/>
      <c r="Q896" s="3"/>
    </row>
    <row r="897" customFormat="false" ht="15" hidden="false" customHeight="false" outlineLevel="0" collapsed="false">
      <c r="A897" s="2" t="s">
        <v>70</v>
      </c>
      <c r="B897" s="2" t="n">
        <v>3</v>
      </c>
      <c r="C897" s="2" t="n">
        <v>96</v>
      </c>
      <c r="D897" s="2" t="n">
        <v>1</v>
      </c>
      <c r="E897" s="2" t="n">
        <v>180</v>
      </c>
      <c r="F897" s="2" t="n">
        <v>50</v>
      </c>
      <c r="G897" s="2" t="s">
        <v>71</v>
      </c>
      <c r="H897" s="6" t="str">
        <f aca="false">A897&amp;"_"&amp;B897</f>
        <v>retiro_3</v>
      </c>
      <c r="I897" s="6" t="str">
        <f aca="false">H897&amp;"_"&amp;C897&amp;"_"&amp;G897</f>
        <v>retiro_3_96_Mela 1</v>
      </c>
      <c r="J897" s="6" t="n">
        <f aca="false">IF(COUNTIF($I$2:I897,I897)=1,1,0)</f>
        <v>1</v>
      </c>
      <c r="K897" s="6" t="n">
        <f aca="false">E897*$Q$2</f>
        <v>18</v>
      </c>
      <c r="L897" s="7" t="n">
        <f aca="false">K897/PI()</f>
        <v>5.72957795130823</v>
      </c>
      <c r="M897" s="8" t="n">
        <f aca="false">PI()*L897^2/40000</f>
        <v>0.0025783100780887</v>
      </c>
      <c r="N897" s="7" t="n">
        <f aca="false">F897*$Q$3</f>
        <v>5</v>
      </c>
      <c r="O897" s="3"/>
      <c r="P897" s="3"/>
      <c r="Q897" s="3"/>
    </row>
    <row r="898" customFormat="false" ht="15" hidden="false" customHeight="false" outlineLevel="0" collapsed="false">
      <c r="A898" s="2" t="s">
        <v>70</v>
      </c>
      <c r="B898" s="2" t="n">
        <v>3</v>
      </c>
      <c r="C898" s="2" t="n">
        <v>96</v>
      </c>
      <c r="D898" s="2" t="n">
        <v>2</v>
      </c>
      <c r="E898" s="2" t="n">
        <v>120</v>
      </c>
      <c r="F898" s="2" t="n">
        <v>50</v>
      </c>
      <c r="G898" s="2" t="s">
        <v>71</v>
      </c>
      <c r="H898" s="6" t="str">
        <f aca="false">A898&amp;"_"&amp;B898</f>
        <v>retiro_3</v>
      </c>
      <c r="I898" s="6" t="str">
        <f aca="false">H898&amp;"_"&amp;C898&amp;"_"&amp;G898</f>
        <v>retiro_3_96_Mela 1</v>
      </c>
      <c r="J898" s="6" t="n">
        <f aca="false">IF(COUNTIF($I$2:I898,I898)=1,1,0)</f>
        <v>0</v>
      </c>
      <c r="K898" s="6" t="n">
        <f aca="false">E898*$Q$2</f>
        <v>12</v>
      </c>
      <c r="L898" s="7" t="n">
        <f aca="false">K898/PI()</f>
        <v>3.81971863420549</v>
      </c>
      <c r="M898" s="8" t="n">
        <f aca="false">PI()*L898^2/40000</f>
        <v>0.00114591559026165</v>
      </c>
      <c r="N898" s="7" t="n">
        <f aca="false">F898*$Q$3</f>
        <v>5</v>
      </c>
      <c r="O898" s="3"/>
      <c r="P898" s="3"/>
      <c r="Q898" s="3"/>
    </row>
    <row r="899" customFormat="false" ht="15" hidden="false" customHeight="false" outlineLevel="0" collapsed="false">
      <c r="A899" s="2" t="s">
        <v>70</v>
      </c>
      <c r="B899" s="2" t="n">
        <v>3</v>
      </c>
      <c r="C899" s="2" t="n">
        <v>97</v>
      </c>
      <c r="D899" s="2" t="n">
        <v>1</v>
      </c>
      <c r="E899" s="2" t="n">
        <v>200</v>
      </c>
      <c r="F899" s="2" t="n">
        <v>50</v>
      </c>
      <c r="G899" s="2" t="s">
        <v>71</v>
      </c>
      <c r="H899" s="6" t="str">
        <f aca="false">A899&amp;"_"&amp;B899</f>
        <v>retiro_3</v>
      </c>
      <c r="I899" s="6" t="str">
        <f aca="false">H899&amp;"_"&amp;C899&amp;"_"&amp;G899</f>
        <v>retiro_3_97_Mela 1</v>
      </c>
      <c r="J899" s="6" t="n">
        <f aca="false">IF(COUNTIF($I$2:I899,I899)=1,1,0)</f>
        <v>1</v>
      </c>
      <c r="K899" s="6" t="n">
        <f aca="false">E899*$Q$2</f>
        <v>20</v>
      </c>
      <c r="L899" s="7" t="n">
        <f aca="false">K899/PI()</f>
        <v>6.36619772367581</v>
      </c>
      <c r="M899" s="8" t="n">
        <f aca="false">PI()*L899^2/40000</f>
        <v>0.00318309886183791</v>
      </c>
      <c r="N899" s="7" t="n">
        <f aca="false">F899*$Q$3</f>
        <v>5</v>
      </c>
      <c r="O899" s="3"/>
      <c r="P899" s="3"/>
      <c r="Q899" s="3"/>
    </row>
    <row r="900" customFormat="false" ht="15" hidden="false" customHeight="false" outlineLevel="0" collapsed="false">
      <c r="A900" s="2" t="s">
        <v>70</v>
      </c>
      <c r="B900" s="2" t="n">
        <v>3</v>
      </c>
      <c r="C900" s="2" t="n">
        <v>98</v>
      </c>
      <c r="D900" s="2" t="n">
        <v>1</v>
      </c>
      <c r="E900" s="2" t="n">
        <v>240</v>
      </c>
      <c r="F900" s="2" t="n">
        <v>80</v>
      </c>
      <c r="G900" s="2" t="s">
        <v>37</v>
      </c>
      <c r="H900" s="6" t="str">
        <f aca="false">A900&amp;"_"&amp;B900</f>
        <v>retiro_3</v>
      </c>
      <c r="I900" s="6" t="str">
        <f aca="false">H900&amp;"_"&amp;C900&amp;"_"&amp;G900</f>
        <v>retiro_3_98_Tabebuia cassinoides</v>
      </c>
      <c r="J900" s="6" t="n">
        <f aca="false">IF(COUNTIF($I$2:I900,I900)=1,1,0)</f>
        <v>1</v>
      </c>
      <c r="K900" s="6" t="n">
        <f aca="false">E900*$Q$2</f>
        <v>24</v>
      </c>
      <c r="L900" s="7" t="n">
        <f aca="false">K900/PI()</f>
        <v>7.63943726841098</v>
      </c>
      <c r="M900" s="8" t="n">
        <f aca="false">PI()*L900^2/40000</f>
        <v>0.00458366236104659</v>
      </c>
      <c r="N900" s="7" t="n">
        <f aca="false">F900*$Q$3</f>
        <v>8</v>
      </c>
      <c r="O900" s="3"/>
      <c r="P900" s="3"/>
      <c r="Q900" s="3"/>
    </row>
    <row r="901" customFormat="false" ht="15" hidden="false" customHeight="false" outlineLevel="0" collapsed="false">
      <c r="A901" s="2" t="s">
        <v>70</v>
      </c>
      <c r="B901" s="2" t="n">
        <v>3</v>
      </c>
      <c r="C901" s="2" t="n">
        <v>99</v>
      </c>
      <c r="D901" s="2" t="n">
        <v>1</v>
      </c>
      <c r="E901" s="2" t="n">
        <v>170</v>
      </c>
      <c r="F901" s="2" t="n">
        <v>25</v>
      </c>
      <c r="G901" s="2" t="s">
        <v>72</v>
      </c>
      <c r="H901" s="6" t="str">
        <f aca="false">A901&amp;"_"&amp;B901</f>
        <v>retiro_3</v>
      </c>
      <c r="I901" s="6" t="str">
        <f aca="false">H901&amp;"_"&amp;C901&amp;"_"&amp;G901</f>
        <v>retiro_3_99_Ilex sp</v>
      </c>
      <c r="J901" s="6" t="n">
        <f aca="false">IF(COUNTIF($I$2:I901,I901)=1,1,0)</f>
        <v>1</v>
      </c>
      <c r="K901" s="6" t="n">
        <f aca="false">E901*$Q$2</f>
        <v>17</v>
      </c>
      <c r="L901" s="7" t="n">
        <f aca="false">K901/PI()</f>
        <v>5.41126806512444</v>
      </c>
      <c r="M901" s="8" t="n">
        <f aca="false">PI()*L901^2/40000</f>
        <v>0.00229978892767789</v>
      </c>
      <c r="N901" s="7" t="n">
        <f aca="false">F901*$Q$3</f>
        <v>2.5</v>
      </c>
      <c r="O901" s="3"/>
      <c r="P901" s="3"/>
      <c r="Q901" s="3"/>
    </row>
    <row r="902" customFormat="false" ht="15" hidden="false" customHeight="false" outlineLevel="0" collapsed="false">
      <c r="A902" s="2" t="s">
        <v>70</v>
      </c>
      <c r="B902" s="2" t="n">
        <v>3</v>
      </c>
      <c r="C902" s="2" t="n">
        <v>100</v>
      </c>
      <c r="D902" s="2" t="n">
        <v>1</v>
      </c>
      <c r="E902" s="2" t="n">
        <v>330</v>
      </c>
      <c r="F902" s="2" t="n">
        <v>70</v>
      </c>
      <c r="G902" s="2" t="s">
        <v>37</v>
      </c>
      <c r="H902" s="6" t="str">
        <f aca="false">A902&amp;"_"&amp;B902</f>
        <v>retiro_3</v>
      </c>
      <c r="I902" s="6" t="str">
        <f aca="false">H902&amp;"_"&amp;C902&amp;"_"&amp;G902</f>
        <v>retiro_3_100_Tabebuia cassinoides</v>
      </c>
      <c r="J902" s="6" t="n">
        <f aca="false">IF(COUNTIF($I$2:I902,I902)=1,1,0)</f>
        <v>1</v>
      </c>
      <c r="K902" s="6" t="n">
        <f aca="false">E902*$Q$2</f>
        <v>33</v>
      </c>
      <c r="L902" s="7" t="n">
        <f aca="false">K902/PI()</f>
        <v>10.5042262440651</v>
      </c>
      <c r="M902" s="8" t="n">
        <f aca="false">PI()*L902^2/40000</f>
        <v>0.0086659866513537</v>
      </c>
      <c r="N902" s="7" t="n">
        <f aca="false">F902*$Q$3</f>
        <v>7</v>
      </c>
      <c r="O902" s="3"/>
      <c r="P902" s="3"/>
      <c r="Q902" s="3"/>
    </row>
    <row r="903" customFormat="false" ht="15" hidden="false" customHeight="false" outlineLevel="0" collapsed="false">
      <c r="A903" s="2" t="s">
        <v>70</v>
      </c>
      <c r="B903" s="2" t="n">
        <v>3</v>
      </c>
      <c r="C903" s="2" t="n">
        <v>101</v>
      </c>
      <c r="D903" s="2" t="n">
        <v>1</v>
      </c>
      <c r="E903" s="2" t="n">
        <v>150</v>
      </c>
      <c r="F903" s="2" t="n">
        <v>50</v>
      </c>
      <c r="G903" s="2" t="s">
        <v>37</v>
      </c>
      <c r="H903" s="6" t="str">
        <f aca="false">A903&amp;"_"&amp;B903</f>
        <v>retiro_3</v>
      </c>
      <c r="I903" s="6" t="str">
        <f aca="false">H903&amp;"_"&amp;C903&amp;"_"&amp;G903</f>
        <v>retiro_3_101_Tabebuia cassinoides</v>
      </c>
      <c r="J903" s="6" t="n">
        <f aca="false">IF(COUNTIF($I$2:I903,I903)=1,1,0)</f>
        <v>1</v>
      </c>
      <c r="K903" s="6" t="n">
        <f aca="false">E903*$Q$2</f>
        <v>15</v>
      </c>
      <c r="L903" s="7" t="n">
        <f aca="false">K903/PI()</f>
        <v>4.77464829275686</v>
      </c>
      <c r="M903" s="8" t="n">
        <f aca="false">PI()*L903^2/40000</f>
        <v>0.00179049310978382</v>
      </c>
      <c r="N903" s="7" t="n">
        <f aca="false">F903*$Q$3</f>
        <v>5</v>
      </c>
      <c r="O903" s="3"/>
      <c r="P903" s="3"/>
      <c r="Q903" s="3"/>
    </row>
    <row r="904" customFormat="false" ht="15" hidden="false" customHeight="false" outlineLevel="0" collapsed="false">
      <c r="A904" s="2" t="s">
        <v>70</v>
      </c>
      <c r="B904" s="2" t="n">
        <v>3</v>
      </c>
      <c r="C904" s="2" t="n">
        <v>102</v>
      </c>
      <c r="D904" s="2" t="n">
        <v>1</v>
      </c>
      <c r="E904" s="2" t="n">
        <v>170</v>
      </c>
      <c r="F904" s="2" t="n">
        <v>70</v>
      </c>
      <c r="G904" s="2" t="s">
        <v>77</v>
      </c>
      <c r="H904" s="6" t="str">
        <f aca="false">A904&amp;"_"&amp;B904</f>
        <v>retiro_3</v>
      </c>
      <c r="I904" s="6" t="str">
        <f aca="false">H904&amp;"_"&amp;C904&amp;"_"&amp;G904</f>
        <v>retiro_3_102_Cecropia sp</v>
      </c>
      <c r="J904" s="6" t="n">
        <f aca="false">IF(COUNTIF($I$2:I904,I904)=1,1,0)</f>
        <v>1</v>
      </c>
      <c r="K904" s="6" t="n">
        <f aca="false">E904*$Q$2</f>
        <v>17</v>
      </c>
      <c r="L904" s="7" t="n">
        <f aca="false">K904/PI()</f>
        <v>5.41126806512444</v>
      </c>
      <c r="M904" s="8" t="n">
        <f aca="false">PI()*L904^2/40000</f>
        <v>0.00229978892767789</v>
      </c>
      <c r="N904" s="7" t="n">
        <f aca="false">F904*$Q$3</f>
        <v>7</v>
      </c>
      <c r="O904" s="3"/>
      <c r="P904" s="3"/>
      <c r="Q904" s="3"/>
    </row>
    <row r="905" customFormat="false" ht="15" hidden="false" customHeight="false" outlineLevel="0" collapsed="false">
      <c r="A905" s="2" t="s">
        <v>70</v>
      </c>
      <c r="B905" s="2" t="n">
        <v>3</v>
      </c>
      <c r="C905" s="2" t="n">
        <v>103</v>
      </c>
      <c r="D905" s="2" t="n">
        <v>1</v>
      </c>
      <c r="E905" s="2" t="n">
        <v>200</v>
      </c>
      <c r="F905" s="2" t="n">
        <v>70</v>
      </c>
      <c r="G905" s="2" t="s">
        <v>37</v>
      </c>
      <c r="H905" s="6" t="str">
        <f aca="false">A905&amp;"_"&amp;B905</f>
        <v>retiro_3</v>
      </c>
      <c r="I905" s="6" t="str">
        <f aca="false">H905&amp;"_"&amp;C905&amp;"_"&amp;G905</f>
        <v>retiro_3_103_Tabebuia cassinoides</v>
      </c>
      <c r="J905" s="6" t="n">
        <f aca="false">IF(COUNTIF($I$2:I905,I905)=1,1,0)</f>
        <v>1</v>
      </c>
      <c r="K905" s="6" t="n">
        <f aca="false">E905*$Q$2</f>
        <v>20</v>
      </c>
      <c r="L905" s="7" t="n">
        <f aca="false">K905/PI()</f>
        <v>6.36619772367581</v>
      </c>
      <c r="M905" s="8" t="n">
        <f aca="false">PI()*L905^2/40000</f>
        <v>0.00318309886183791</v>
      </c>
      <c r="N905" s="7" t="n">
        <f aca="false">F905*$Q$3</f>
        <v>7</v>
      </c>
      <c r="O905" s="3"/>
      <c r="P905" s="3"/>
      <c r="Q905" s="3"/>
    </row>
    <row r="906" customFormat="false" ht="15" hidden="false" customHeight="false" outlineLevel="0" collapsed="false">
      <c r="A906" s="2" t="s">
        <v>70</v>
      </c>
      <c r="B906" s="2" t="n">
        <v>3</v>
      </c>
      <c r="C906" s="2" t="n">
        <v>104</v>
      </c>
      <c r="D906" s="2" t="n">
        <v>1</v>
      </c>
      <c r="E906" s="2" t="n">
        <v>450</v>
      </c>
      <c r="F906" s="2" t="n">
        <v>110</v>
      </c>
      <c r="G906" s="2" t="s">
        <v>37</v>
      </c>
      <c r="H906" s="6" t="str">
        <f aca="false">A906&amp;"_"&amp;B906</f>
        <v>retiro_3</v>
      </c>
      <c r="I906" s="6" t="str">
        <f aca="false">H906&amp;"_"&amp;C906&amp;"_"&amp;G906</f>
        <v>retiro_3_104_Tabebuia cassinoides</v>
      </c>
      <c r="J906" s="6" t="n">
        <f aca="false">IF(COUNTIF($I$2:I906,I906)=1,1,0)</f>
        <v>1</v>
      </c>
      <c r="K906" s="6" t="n">
        <f aca="false">E906*$Q$2</f>
        <v>45</v>
      </c>
      <c r="L906" s="7" t="n">
        <f aca="false">K906/PI()</f>
        <v>14.3239448782706</v>
      </c>
      <c r="M906" s="8" t="n">
        <f aca="false">PI()*L906^2/40000</f>
        <v>0.0161144379880544</v>
      </c>
      <c r="N906" s="7" t="n">
        <f aca="false">F906*$Q$3</f>
        <v>11</v>
      </c>
      <c r="O906" s="3"/>
      <c r="P906" s="3"/>
      <c r="Q906" s="3"/>
    </row>
    <row r="907" customFormat="false" ht="15" hidden="false" customHeight="false" outlineLevel="0" collapsed="false">
      <c r="A907" s="2" t="s">
        <v>70</v>
      </c>
      <c r="B907" s="2" t="n">
        <v>3</v>
      </c>
      <c r="C907" s="2" t="n">
        <v>105</v>
      </c>
      <c r="D907" s="2" t="n">
        <v>1</v>
      </c>
      <c r="E907" s="2" t="n">
        <v>210</v>
      </c>
      <c r="F907" s="2" t="n">
        <v>70</v>
      </c>
      <c r="G907" s="2" t="s">
        <v>37</v>
      </c>
      <c r="H907" s="6" t="str">
        <f aca="false">A907&amp;"_"&amp;B907</f>
        <v>retiro_3</v>
      </c>
      <c r="I907" s="6" t="str">
        <f aca="false">H907&amp;"_"&amp;C907&amp;"_"&amp;G907</f>
        <v>retiro_3_105_Tabebuia cassinoides</v>
      </c>
      <c r="J907" s="6" t="n">
        <f aca="false">IF(COUNTIF($I$2:I907,I907)=1,1,0)</f>
        <v>1</v>
      </c>
      <c r="K907" s="6" t="n">
        <f aca="false">E907*$Q$2</f>
        <v>21</v>
      </c>
      <c r="L907" s="7" t="n">
        <f aca="false">K907/PI()</f>
        <v>6.68450760985961</v>
      </c>
      <c r="M907" s="8" t="n">
        <f aca="false">PI()*L907^2/40000</f>
        <v>0.00350936649517629</v>
      </c>
      <c r="N907" s="7" t="n">
        <f aca="false">F907*$Q$3</f>
        <v>7</v>
      </c>
      <c r="O907" s="3"/>
      <c r="P907" s="3"/>
      <c r="Q907" s="3"/>
    </row>
    <row r="908" customFormat="false" ht="15" hidden="false" customHeight="false" outlineLevel="0" collapsed="false">
      <c r="A908" s="2" t="s">
        <v>70</v>
      </c>
      <c r="B908" s="2" t="n">
        <v>3</v>
      </c>
      <c r="C908" s="2" t="n">
        <v>106</v>
      </c>
      <c r="D908" s="2" t="n">
        <v>1</v>
      </c>
      <c r="E908" s="2" t="n">
        <v>420</v>
      </c>
      <c r="F908" s="2" t="n">
        <v>30</v>
      </c>
      <c r="G908" s="2" t="s">
        <v>78</v>
      </c>
      <c r="H908" s="6" t="str">
        <f aca="false">A908&amp;"_"&amp;B908</f>
        <v>retiro_3</v>
      </c>
      <c r="I908" s="6" t="str">
        <f aca="false">H908&amp;"_"&amp;C908&amp;"_"&amp;G908</f>
        <v>retiro_3_106_Cyathea sp</v>
      </c>
      <c r="J908" s="6" t="n">
        <f aca="false">IF(COUNTIF($I$2:I908,I908)=1,1,0)</f>
        <v>1</v>
      </c>
      <c r="K908" s="6" t="n">
        <f aca="false">E908*$Q$2</f>
        <v>42</v>
      </c>
      <c r="L908" s="7" t="n">
        <f aca="false">K908/PI()</f>
        <v>13.3690152197192</v>
      </c>
      <c r="M908" s="8" t="n">
        <f aca="false">PI()*L908^2/40000</f>
        <v>0.0140374659807052</v>
      </c>
      <c r="N908" s="7" t="n">
        <f aca="false">F908*$Q$3</f>
        <v>3</v>
      </c>
      <c r="O908" s="3"/>
      <c r="P908" s="3"/>
      <c r="Q908" s="3"/>
    </row>
    <row r="909" customFormat="false" ht="15" hidden="false" customHeight="false" outlineLevel="0" collapsed="false">
      <c r="A909" s="2" t="s">
        <v>70</v>
      </c>
      <c r="B909" s="2" t="n">
        <v>3</v>
      </c>
      <c r="C909" s="2" t="n">
        <v>107</v>
      </c>
      <c r="D909" s="2" t="n">
        <v>1</v>
      </c>
      <c r="E909" s="2" t="n">
        <v>390</v>
      </c>
      <c r="F909" s="2" t="n">
        <v>120</v>
      </c>
      <c r="G909" s="2" t="s">
        <v>37</v>
      </c>
      <c r="H909" s="6" t="str">
        <f aca="false">A909&amp;"_"&amp;B909</f>
        <v>retiro_3</v>
      </c>
      <c r="I909" s="6" t="str">
        <f aca="false">H909&amp;"_"&amp;C909&amp;"_"&amp;G909</f>
        <v>retiro_3_107_Tabebuia cassinoides</v>
      </c>
      <c r="J909" s="6" t="n">
        <f aca="false">IF(COUNTIF($I$2:I909,I909)=1,1,0)</f>
        <v>1</v>
      </c>
      <c r="K909" s="6" t="n">
        <f aca="false">E909*$Q$2</f>
        <v>39</v>
      </c>
      <c r="L909" s="7" t="n">
        <f aca="false">K909/PI()</f>
        <v>12.4140855611678</v>
      </c>
      <c r="M909" s="8" t="n">
        <f aca="false">PI()*L909^2/40000</f>
        <v>0.0121037334221386</v>
      </c>
      <c r="N909" s="7" t="n">
        <f aca="false">F909*$Q$3</f>
        <v>12</v>
      </c>
      <c r="O909" s="3"/>
      <c r="P909" s="3"/>
      <c r="Q909" s="3"/>
    </row>
    <row r="910" customFormat="false" ht="15" hidden="false" customHeight="false" outlineLevel="0" collapsed="false">
      <c r="A910" s="2" t="s">
        <v>70</v>
      </c>
      <c r="B910" s="2" t="n">
        <v>3</v>
      </c>
      <c r="C910" s="2" t="n">
        <v>108</v>
      </c>
      <c r="D910" s="2" t="n">
        <v>1</v>
      </c>
      <c r="E910" s="2" t="n">
        <v>160</v>
      </c>
      <c r="F910" s="2" t="n">
        <v>60</v>
      </c>
      <c r="G910" s="2" t="s">
        <v>79</v>
      </c>
      <c r="H910" s="6" t="str">
        <f aca="false">A910&amp;"_"&amp;B910</f>
        <v>retiro_3</v>
      </c>
      <c r="I910" s="6" t="str">
        <f aca="false">H910&amp;"_"&amp;C910&amp;"_"&amp;G910</f>
        <v>retiro_3_108_Solanum sp1</v>
      </c>
      <c r="J910" s="6" t="n">
        <f aca="false">IF(COUNTIF($I$2:I910,I910)=1,1,0)</f>
        <v>1</v>
      </c>
      <c r="K910" s="6" t="n">
        <f aca="false">E910*$Q$2</f>
        <v>16</v>
      </c>
      <c r="L910" s="7" t="n">
        <f aca="false">K910/PI()</f>
        <v>5.09295817894065</v>
      </c>
      <c r="M910" s="8" t="n">
        <f aca="false">PI()*L910^2/40000</f>
        <v>0.00203718327157626</v>
      </c>
      <c r="N910" s="7" t="n">
        <f aca="false">F910*$Q$3</f>
        <v>6</v>
      </c>
      <c r="O910" s="3"/>
      <c r="P910" s="3"/>
      <c r="Q910" s="3"/>
    </row>
    <row r="911" customFormat="false" ht="15" hidden="false" customHeight="false" outlineLevel="0" collapsed="false">
      <c r="A911" s="2" t="s">
        <v>70</v>
      </c>
      <c r="B911" s="2" t="n">
        <v>3</v>
      </c>
      <c r="C911" s="2" t="n">
        <v>109</v>
      </c>
      <c r="D911" s="2" t="n">
        <v>1</v>
      </c>
      <c r="E911" s="2" t="n">
        <v>240</v>
      </c>
      <c r="F911" s="2" t="n">
        <v>80</v>
      </c>
      <c r="G911" s="2" t="s">
        <v>37</v>
      </c>
      <c r="H911" s="6" t="str">
        <f aca="false">A911&amp;"_"&amp;B911</f>
        <v>retiro_3</v>
      </c>
      <c r="I911" s="6" t="str">
        <f aca="false">H911&amp;"_"&amp;C911&amp;"_"&amp;G911</f>
        <v>retiro_3_109_Tabebuia cassinoides</v>
      </c>
      <c r="J911" s="6" t="n">
        <f aca="false">IF(COUNTIF($I$2:I911,I911)=1,1,0)</f>
        <v>1</v>
      </c>
      <c r="K911" s="6" t="n">
        <f aca="false">E911*$Q$2</f>
        <v>24</v>
      </c>
      <c r="L911" s="7" t="n">
        <f aca="false">K911/PI()</f>
        <v>7.63943726841098</v>
      </c>
      <c r="M911" s="8" t="n">
        <f aca="false">PI()*L911^2/40000</f>
        <v>0.00458366236104659</v>
      </c>
      <c r="N911" s="7" t="n">
        <f aca="false">F911*$Q$3</f>
        <v>8</v>
      </c>
      <c r="O911" s="3"/>
      <c r="P911" s="3"/>
      <c r="Q911" s="3"/>
    </row>
    <row r="912" customFormat="false" ht="15" hidden="false" customHeight="false" outlineLevel="0" collapsed="false">
      <c r="A912" s="2" t="s">
        <v>70</v>
      </c>
      <c r="B912" s="2" t="n">
        <v>3</v>
      </c>
      <c r="C912" s="2" t="n">
        <v>110</v>
      </c>
      <c r="D912" s="2" t="n">
        <v>1</v>
      </c>
      <c r="E912" s="2" t="n">
        <v>180</v>
      </c>
      <c r="F912" s="2" t="n">
        <v>30</v>
      </c>
      <c r="G912" s="2" t="s">
        <v>37</v>
      </c>
      <c r="H912" s="6" t="str">
        <f aca="false">A912&amp;"_"&amp;B912</f>
        <v>retiro_3</v>
      </c>
      <c r="I912" s="6" t="str">
        <f aca="false">H912&amp;"_"&amp;C912&amp;"_"&amp;G912</f>
        <v>retiro_3_110_Tabebuia cassinoides</v>
      </c>
      <c r="J912" s="6" t="n">
        <f aca="false">IF(COUNTIF($I$2:I912,I912)=1,1,0)</f>
        <v>1</v>
      </c>
      <c r="K912" s="6" t="n">
        <f aca="false">E912*$Q$2</f>
        <v>18</v>
      </c>
      <c r="L912" s="7" t="n">
        <f aca="false">K912/PI()</f>
        <v>5.72957795130823</v>
      </c>
      <c r="M912" s="8" t="n">
        <f aca="false">PI()*L912^2/40000</f>
        <v>0.0025783100780887</v>
      </c>
      <c r="N912" s="7" t="n">
        <f aca="false">F912*$Q$3</f>
        <v>3</v>
      </c>
      <c r="O912" s="3"/>
      <c r="P912" s="3"/>
      <c r="Q912" s="3"/>
    </row>
    <row r="913" customFormat="false" ht="15" hidden="false" customHeight="false" outlineLevel="0" collapsed="false">
      <c r="A913" s="2" t="s">
        <v>70</v>
      </c>
      <c r="B913" s="2" t="n">
        <v>3</v>
      </c>
      <c r="C913" s="2" t="n">
        <v>111</v>
      </c>
      <c r="D913" s="2" t="n">
        <v>1</v>
      </c>
      <c r="E913" s="2" t="n">
        <v>330</v>
      </c>
      <c r="F913" s="2" t="n">
        <v>70</v>
      </c>
      <c r="G913" s="2" t="s">
        <v>37</v>
      </c>
      <c r="H913" s="6" t="str">
        <f aca="false">A913&amp;"_"&amp;B913</f>
        <v>retiro_3</v>
      </c>
      <c r="I913" s="6" t="str">
        <f aca="false">H913&amp;"_"&amp;C913&amp;"_"&amp;G913</f>
        <v>retiro_3_111_Tabebuia cassinoides</v>
      </c>
      <c r="J913" s="6" t="n">
        <f aca="false">IF(COUNTIF($I$2:I913,I913)=1,1,0)</f>
        <v>1</v>
      </c>
      <c r="K913" s="6" t="n">
        <f aca="false">E913*$Q$2</f>
        <v>33</v>
      </c>
      <c r="L913" s="7" t="n">
        <f aca="false">K913/PI()</f>
        <v>10.5042262440651</v>
      </c>
      <c r="M913" s="8" t="n">
        <f aca="false">PI()*L913^2/40000</f>
        <v>0.0086659866513537</v>
      </c>
      <c r="N913" s="7" t="n">
        <f aca="false">F913*$Q$3</f>
        <v>7</v>
      </c>
      <c r="O913" s="3"/>
      <c r="P913" s="3"/>
      <c r="Q913" s="3"/>
    </row>
    <row r="914" customFormat="false" ht="15" hidden="false" customHeight="false" outlineLevel="0" collapsed="false">
      <c r="A914" s="2" t="s">
        <v>70</v>
      </c>
      <c r="B914" s="2" t="n">
        <v>3</v>
      </c>
      <c r="C914" s="2" t="n">
        <v>112</v>
      </c>
      <c r="D914" s="2" t="n">
        <v>1</v>
      </c>
      <c r="E914" s="2" t="n">
        <v>250</v>
      </c>
      <c r="F914" s="2" t="n">
        <v>60</v>
      </c>
      <c r="G914" s="2" t="s">
        <v>71</v>
      </c>
      <c r="H914" s="6" t="str">
        <f aca="false">A914&amp;"_"&amp;B914</f>
        <v>retiro_3</v>
      </c>
      <c r="I914" s="6" t="str">
        <f aca="false">H914&amp;"_"&amp;C914&amp;"_"&amp;G914</f>
        <v>retiro_3_112_Mela 1</v>
      </c>
      <c r="J914" s="6" t="n">
        <f aca="false">IF(COUNTIF($I$2:I914,I914)=1,1,0)</f>
        <v>1</v>
      </c>
      <c r="K914" s="6" t="n">
        <f aca="false">E914*$Q$2</f>
        <v>25</v>
      </c>
      <c r="L914" s="7" t="n">
        <f aca="false">K914/PI()</f>
        <v>7.95774715459477</v>
      </c>
      <c r="M914" s="8" t="n">
        <f aca="false">PI()*L914^2/40000</f>
        <v>0.00497359197162173</v>
      </c>
      <c r="N914" s="7" t="n">
        <f aca="false">F914*$Q$3</f>
        <v>6</v>
      </c>
      <c r="O914" s="3"/>
      <c r="P914" s="3"/>
      <c r="Q914" s="3"/>
    </row>
    <row r="915" customFormat="false" ht="15" hidden="false" customHeight="false" outlineLevel="0" collapsed="false">
      <c r="A915" s="2" t="s">
        <v>70</v>
      </c>
      <c r="B915" s="2" t="n">
        <v>3</v>
      </c>
      <c r="C915" s="2" t="n">
        <v>113</v>
      </c>
      <c r="D915" s="2" t="n">
        <v>1</v>
      </c>
      <c r="E915" s="2" t="n">
        <v>170</v>
      </c>
      <c r="F915" s="2" t="n">
        <v>50</v>
      </c>
      <c r="G915" s="2" t="s">
        <v>71</v>
      </c>
      <c r="H915" s="6" t="str">
        <f aca="false">A915&amp;"_"&amp;B915</f>
        <v>retiro_3</v>
      </c>
      <c r="I915" s="6" t="str">
        <f aca="false">H915&amp;"_"&amp;C915&amp;"_"&amp;G915</f>
        <v>retiro_3_113_Mela 1</v>
      </c>
      <c r="J915" s="6" t="n">
        <f aca="false">IF(COUNTIF($I$2:I915,I915)=1,1,0)</f>
        <v>1</v>
      </c>
      <c r="K915" s="6" t="n">
        <f aca="false">E915*$Q$2</f>
        <v>17</v>
      </c>
      <c r="L915" s="7" t="n">
        <f aca="false">K915/PI()</f>
        <v>5.41126806512444</v>
      </c>
      <c r="M915" s="8" t="n">
        <f aca="false">PI()*L915^2/40000</f>
        <v>0.00229978892767789</v>
      </c>
      <c r="N915" s="7" t="n">
        <f aca="false">F915*$Q$3</f>
        <v>5</v>
      </c>
      <c r="O915" s="3"/>
      <c r="P915" s="3"/>
      <c r="Q915" s="3"/>
    </row>
    <row r="916" customFormat="false" ht="15" hidden="false" customHeight="false" outlineLevel="0" collapsed="false">
      <c r="A916" s="2" t="s">
        <v>70</v>
      </c>
      <c r="B916" s="2" t="n">
        <v>3</v>
      </c>
      <c r="C916" s="2" t="n">
        <v>114</v>
      </c>
      <c r="D916" s="2" t="n">
        <v>1</v>
      </c>
      <c r="E916" s="2" t="n">
        <v>160</v>
      </c>
      <c r="F916" s="2" t="n">
        <v>70</v>
      </c>
      <c r="G916" s="2" t="s">
        <v>80</v>
      </c>
      <c r="H916" s="6" t="str">
        <f aca="false">A916&amp;"_"&amp;B916</f>
        <v>retiro_3</v>
      </c>
      <c r="I916" s="6" t="str">
        <f aca="false">H916&amp;"_"&amp;C916&amp;"_"&amp;G916</f>
        <v>retiro_3_114_Solanum sp2</v>
      </c>
      <c r="J916" s="6" t="n">
        <f aca="false">IF(COUNTIF($I$2:I916,I916)=1,1,0)</f>
        <v>1</v>
      </c>
      <c r="K916" s="6" t="n">
        <f aca="false">E916*$Q$2</f>
        <v>16</v>
      </c>
      <c r="L916" s="7" t="n">
        <f aca="false">K916/PI()</f>
        <v>5.09295817894065</v>
      </c>
      <c r="M916" s="8" t="n">
        <f aca="false">PI()*L916^2/40000</f>
        <v>0.00203718327157626</v>
      </c>
      <c r="N916" s="7" t="n">
        <f aca="false">F916*$Q$3</f>
        <v>7</v>
      </c>
      <c r="O916" s="3"/>
      <c r="P916" s="3"/>
      <c r="Q916" s="3"/>
    </row>
    <row r="917" customFormat="false" ht="15" hidden="false" customHeight="false" outlineLevel="0" collapsed="false">
      <c r="A917" s="2" t="s">
        <v>70</v>
      </c>
      <c r="B917" s="2" t="n">
        <v>3</v>
      </c>
      <c r="C917" s="2" t="n">
        <v>115</v>
      </c>
      <c r="D917" s="2" t="n">
        <v>1</v>
      </c>
      <c r="E917" s="2" t="n">
        <v>730</v>
      </c>
      <c r="F917" s="2" t="n">
        <v>110</v>
      </c>
      <c r="G917" s="2" t="s">
        <v>37</v>
      </c>
      <c r="H917" s="6" t="str">
        <f aca="false">A917&amp;"_"&amp;B917</f>
        <v>retiro_3</v>
      </c>
      <c r="I917" s="6" t="str">
        <f aca="false">H917&amp;"_"&amp;C917&amp;"_"&amp;G917</f>
        <v>retiro_3_115_Tabebuia cassinoides</v>
      </c>
      <c r="J917" s="6" t="n">
        <f aca="false">IF(COUNTIF($I$2:I917,I917)=1,1,0)</f>
        <v>1</v>
      </c>
      <c r="K917" s="6" t="n">
        <f aca="false">E917*$Q$2</f>
        <v>73</v>
      </c>
      <c r="L917" s="7" t="n">
        <f aca="false">K917/PI()</f>
        <v>23.2366216914167</v>
      </c>
      <c r="M917" s="8" t="n">
        <f aca="false">PI()*L917^2/40000</f>
        <v>0.0424068345868355</v>
      </c>
      <c r="N917" s="7" t="n">
        <f aca="false">F917*$Q$3</f>
        <v>11</v>
      </c>
      <c r="O917" s="3"/>
      <c r="P917" s="3"/>
      <c r="Q917" s="3"/>
    </row>
    <row r="918" customFormat="false" ht="15" hidden="false" customHeight="false" outlineLevel="0" collapsed="false">
      <c r="A918" s="2" t="s">
        <v>70</v>
      </c>
      <c r="B918" s="2" t="n">
        <v>3</v>
      </c>
      <c r="C918" s="2" t="n">
        <v>116</v>
      </c>
      <c r="D918" s="2" t="n">
        <v>1</v>
      </c>
      <c r="E918" s="2" t="n">
        <v>180</v>
      </c>
      <c r="F918" s="2" t="n">
        <v>60</v>
      </c>
      <c r="G918" s="2" t="s">
        <v>37</v>
      </c>
      <c r="H918" s="6" t="str">
        <f aca="false">A918&amp;"_"&amp;B918</f>
        <v>retiro_3</v>
      </c>
      <c r="I918" s="6" t="str">
        <f aca="false">H918&amp;"_"&amp;C918&amp;"_"&amp;G918</f>
        <v>retiro_3_116_Tabebuia cassinoides</v>
      </c>
      <c r="J918" s="6" t="n">
        <f aca="false">IF(COUNTIF($I$2:I918,I918)=1,1,0)</f>
        <v>1</v>
      </c>
      <c r="K918" s="6" t="n">
        <f aca="false">E918*$Q$2</f>
        <v>18</v>
      </c>
      <c r="L918" s="7" t="n">
        <f aca="false">K918/PI()</f>
        <v>5.72957795130823</v>
      </c>
      <c r="M918" s="8" t="n">
        <f aca="false">PI()*L918^2/40000</f>
        <v>0.0025783100780887</v>
      </c>
      <c r="N918" s="7" t="n">
        <f aca="false">F918*$Q$3</f>
        <v>6</v>
      </c>
      <c r="O918" s="3"/>
      <c r="P918" s="3"/>
      <c r="Q918" s="3"/>
    </row>
    <row r="919" customFormat="false" ht="15" hidden="false" customHeight="false" outlineLevel="0" collapsed="false">
      <c r="A919" s="2" t="s">
        <v>70</v>
      </c>
      <c r="B919" s="2" t="n">
        <v>3</v>
      </c>
      <c r="C919" s="2" t="n">
        <v>117</v>
      </c>
      <c r="D919" s="2" t="n">
        <v>1</v>
      </c>
      <c r="E919" s="2" t="n">
        <v>340</v>
      </c>
      <c r="F919" s="2" t="n">
        <v>90</v>
      </c>
      <c r="G919" s="2" t="s">
        <v>37</v>
      </c>
      <c r="H919" s="6" t="str">
        <f aca="false">A919&amp;"_"&amp;B919</f>
        <v>retiro_3</v>
      </c>
      <c r="I919" s="6" t="str">
        <f aca="false">H919&amp;"_"&amp;C919&amp;"_"&amp;G919</f>
        <v>retiro_3_117_Tabebuia cassinoides</v>
      </c>
      <c r="J919" s="6" t="n">
        <f aca="false">IF(COUNTIF($I$2:I919,I919)=1,1,0)</f>
        <v>1</v>
      </c>
      <c r="K919" s="6" t="n">
        <f aca="false">E919*$Q$2</f>
        <v>34</v>
      </c>
      <c r="L919" s="7" t="n">
        <f aca="false">K919/PI()</f>
        <v>10.8225361302489</v>
      </c>
      <c r="M919" s="8" t="n">
        <f aca="false">PI()*L919^2/40000</f>
        <v>0.00919915571071155</v>
      </c>
      <c r="N919" s="7" t="n">
        <f aca="false">F919*$Q$3</f>
        <v>9</v>
      </c>
      <c r="O919" s="3"/>
      <c r="P919" s="3"/>
      <c r="Q919" s="3"/>
    </row>
    <row r="920" customFormat="false" ht="15" hidden="false" customHeight="false" outlineLevel="0" collapsed="false">
      <c r="A920" s="2" t="s">
        <v>70</v>
      </c>
      <c r="B920" s="2" t="n">
        <v>3</v>
      </c>
      <c r="C920" s="2" t="n">
        <v>118</v>
      </c>
      <c r="D920" s="2" t="n">
        <v>1</v>
      </c>
      <c r="E920" s="2" t="n">
        <v>250</v>
      </c>
      <c r="F920" s="2" t="n">
        <v>80</v>
      </c>
      <c r="G920" s="2" t="s">
        <v>37</v>
      </c>
      <c r="H920" s="6" t="str">
        <f aca="false">A920&amp;"_"&amp;B920</f>
        <v>retiro_3</v>
      </c>
      <c r="I920" s="6" t="str">
        <f aca="false">H920&amp;"_"&amp;C920&amp;"_"&amp;G920</f>
        <v>retiro_3_118_Tabebuia cassinoides</v>
      </c>
      <c r="J920" s="6" t="n">
        <f aca="false">IF(COUNTIF($I$2:I920,I920)=1,1,0)</f>
        <v>1</v>
      </c>
      <c r="K920" s="6" t="n">
        <f aca="false">E920*$Q$2</f>
        <v>25</v>
      </c>
      <c r="L920" s="7" t="n">
        <f aca="false">K920/PI()</f>
        <v>7.95774715459477</v>
      </c>
      <c r="M920" s="8" t="n">
        <f aca="false">PI()*L920^2/40000</f>
        <v>0.00497359197162173</v>
      </c>
      <c r="N920" s="7" t="n">
        <f aca="false">F920*$Q$3</f>
        <v>8</v>
      </c>
      <c r="O920" s="3"/>
      <c r="P920" s="3"/>
      <c r="Q920" s="3"/>
    </row>
    <row r="921" customFormat="false" ht="15" hidden="false" customHeight="false" outlineLevel="0" collapsed="false">
      <c r="A921" s="2" t="s">
        <v>70</v>
      </c>
      <c r="B921" s="2" t="n">
        <v>3</v>
      </c>
      <c r="C921" s="2" t="n">
        <v>119</v>
      </c>
      <c r="D921" s="2" t="n">
        <v>1</v>
      </c>
      <c r="E921" s="2" t="n">
        <v>350</v>
      </c>
      <c r="F921" s="2" t="n">
        <v>25</v>
      </c>
      <c r="G921" s="2" t="s">
        <v>78</v>
      </c>
      <c r="H921" s="6" t="str">
        <f aca="false">A921&amp;"_"&amp;B921</f>
        <v>retiro_3</v>
      </c>
      <c r="I921" s="6" t="str">
        <f aca="false">H921&amp;"_"&amp;C921&amp;"_"&amp;G921</f>
        <v>retiro_3_119_Cyathea sp</v>
      </c>
      <c r="J921" s="6" t="n">
        <f aca="false">IF(COUNTIF($I$2:I921,I921)=1,1,0)</f>
        <v>1</v>
      </c>
      <c r="K921" s="6" t="n">
        <f aca="false">E921*$Q$2</f>
        <v>35</v>
      </c>
      <c r="L921" s="7" t="n">
        <f aca="false">K921/PI()</f>
        <v>11.1408460164327</v>
      </c>
      <c r="M921" s="8" t="n">
        <f aca="false">PI()*L921^2/40000</f>
        <v>0.00974824026437859</v>
      </c>
      <c r="N921" s="7" t="n">
        <f aca="false">F921*$Q$3</f>
        <v>2.5</v>
      </c>
      <c r="O921" s="3"/>
      <c r="P921" s="3"/>
      <c r="Q921" s="3"/>
    </row>
    <row r="922" customFormat="false" ht="15" hidden="false" customHeight="false" outlineLevel="0" collapsed="false">
      <c r="A922" s="2" t="s">
        <v>70</v>
      </c>
      <c r="B922" s="2" t="n">
        <v>3</v>
      </c>
      <c r="C922" s="2" t="n">
        <v>120</v>
      </c>
      <c r="D922" s="2" t="n">
        <v>1</v>
      </c>
      <c r="E922" s="2" t="n">
        <v>250</v>
      </c>
      <c r="F922" s="2" t="n">
        <v>90</v>
      </c>
      <c r="G922" s="2" t="s">
        <v>37</v>
      </c>
      <c r="H922" s="6" t="str">
        <f aca="false">A922&amp;"_"&amp;B922</f>
        <v>retiro_3</v>
      </c>
      <c r="I922" s="6" t="str">
        <f aca="false">H922&amp;"_"&amp;C922&amp;"_"&amp;G922</f>
        <v>retiro_3_120_Tabebuia cassinoides</v>
      </c>
      <c r="J922" s="6" t="n">
        <f aca="false">IF(COUNTIF($I$2:I922,I922)=1,1,0)</f>
        <v>1</v>
      </c>
      <c r="K922" s="6" t="n">
        <f aca="false">E922*$Q$2</f>
        <v>25</v>
      </c>
      <c r="L922" s="7" t="n">
        <f aca="false">K922/PI()</f>
        <v>7.95774715459477</v>
      </c>
      <c r="M922" s="8" t="n">
        <f aca="false">PI()*L922^2/40000</f>
        <v>0.00497359197162173</v>
      </c>
      <c r="N922" s="7" t="n">
        <f aca="false">F922*$Q$3</f>
        <v>9</v>
      </c>
      <c r="O922" s="3"/>
      <c r="P922" s="3"/>
      <c r="Q922" s="3"/>
    </row>
    <row r="923" customFormat="false" ht="15" hidden="false" customHeight="false" outlineLevel="0" collapsed="false">
      <c r="A923" s="2" t="s">
        <v>70</v>
      </c>
      <c r="B923" s="2" t="n">
        <v>3</v>
      </c>
      <c r="C923" s="2" t="n">
        <v>121</v>
      </c>
      <c r="D923" s="2" t="n">
        <v>1</v>
      </c>
      <c r="E923" s="2" t="n">
        <v>160</v>
      </c>
      <c r="F923" s="2" t="n">
        <v>60</v>
      </c>
      <c r="G923" s="2" t="s">
        <v>37</v>
      </c>
      <c r="H923" s="6" t="str">
        <f aca="false">A923&amp;"_"&amp;B923</f>
        <v>retiro_3</v>
      </c>
      <c r="I923" s="6" t="str">
        <f aca="false">H923&amp;"_"&amp;C923&amp;"_"&amp;G923</f>
        <v>retiro_3_121_Tabebuia cassinoides</v>
      </c>
      <c r="J923" s="6" t="n">
        <f aca="false">IF(COUNTIF($I$2:I923,I923)=1,1,0)</f>
        <v>1</v>
      </c>
      <c r="K923" s="6" t="n">
        <f aca="false">E923*$Q$2</f>
        <v>16</v>
      </c>
      <c r="L923" s="7" t="n">
        <f aca="false">K923/PI()</f>
        <v>5.09295817894065</v>
      </c>
      <c r="M923" s="8" t="n">
        <f aca="false">PI()*L923^2/40000</f>
        <v>0.00203718327157626</v>
      </c>
      <c r="N923" s="7" t="n">
        <f aca="false">F923*$Q$3</f>
        <v>6</v>
      </c>
      <c r="O923" s="3"/>
      <c r="P923" s="3"/>
      <c r="Q923" s="3"/>
    </row>
    <row r="924" customFormat="false" ht="15" hidden="false" customHeight="false" outlineLevel="0" collapsed="false">
      <c r="A924" s="2" t="s">
        <v>70</v>
      </c>
      <c r="B924" s="2" t="n">
        <v>3</v>
      </c>
      <c r="C924" s="2" t="n">
        <v>122</v>
      </c>
      <c r="D924" s="2" t="n">
        <v>1</v>
      </c>
      <c r="E924" s="2" t="n">
        <v>250</v>
      </c>
      <c r="F924" s="2" t="n">
        <v>100</v>
      </c>
      <c r="G924" s="2" t="s">
        <v>37</v>
      </c>
      <c r="H924" s="6" t="str">
        <f aca="false">A924&amp;"_"&amp;B924</f>
        <v>retiro_3</v>
      </c>
      <c r="I924" s="6" t="str">
        <f aca="false">H924&amp;"_"&amp;C924&amp;"_"&amp;G924</f>
        <v>retiro_3_122_Tabebuia cassinoides</v>
      </c>
      <c r="J924" s="6" t="n">
        <f aca="false">IF(COUNTIF($I$2:I924,I924)=1,1,0)</f>
        <v>1</v>
      </c>
      <c r="K924" s="6" t="n">
        <f aca="false">E924*$Q$2</f>
        <v>25</v>
      </c>
      <c r="L924" s="7" t="n">
        <f aca="false">K924/PI()</f>
        <v>7.95774715459477</v>
      </c>
      <c r="M924" s="8" t="n">
        <f aca="false">PI()*L924^2/40000</f>
        <v>0.00497359197162173</v>
      </c>
      <c r="N924" s="7" t="n">
        <f aca="false">F924*$Q$3</f>
        <v>10</v>
      </c>
      <c r="O924" s="3"/>
      <c r="P924" s="3"/>
      <c r="Q924" s="3"/>
    </row>
    <row r="925" customFormat="false" ht="15" hidden="false" customHeight="false" outlineLevel="0" collapsed="false">
      <c r="A925" s="2" t="s">
        <v>70</v>
      </c>
      <c r="B925" s="2" t="n">
        <v>3</v>
      </c>
      <c r="C925" s="2" t="n">
        <v>123</v>
      </c>
      <c r="D925" s="2" t="n">
        <v>1</v>
      </c>
      <c r="E925" s="2" t="n">
        <v>310</v>
      </c>
      <c r="F925" s="2" t="n">
        <v>90</v>
      </c>
      <c r="G925" s="2" t="s">
        <v>37</v>
      </c>
      <c r="H925" s="6" t="str">
        <f aca="false">A925&amp;"_"&amp;B925</f>
        <v>retiro_3</v>
      </c>
      <c r="I925" s="6" t="str">
        <f aca="false">H925&amp;"_"&amp;C925&amp;"_"&amp;G925</f>
        <v>retiro_3_123_Tabebuia cassinoides</v>
      </c>
      <c r="J925" s="6" t="n">
        <f aca="false">IF(COUNTIF($I$2:I925,I925)=1,1,0)</f>
        <v>1</v>
      </c>
      <c r="K925" s="6" t="n">
        <f aca="false">E925*$Q$2</f>
        <v>31</v>
      </c>
      <c r="L925" s="7" t="n">
        <f aca="false">K925/PI()</f>
        <v>9.86760647169751</v>
      </c>
      <c r="M925" s="8" t="n">
        <f aca="false">PI()*L925^2/40000</f>
        <v>0.00764739501556557</v>
      </c>
      <c r="N925" s="7" t="n">
        <f aca="false">F925*$Q$3</f>
        <v>9</v>
      </c>
      <c r="O925" s="3"/>
      <c r="P925" s="3"/>
      <c r="Q925" s="3"/>
    </row>
    <row r="926" customFormat="false" ht="15" hidden="false" customHeight="false" outlineLevel="0" collapsed="false">
      <c r="A926" s="2" t="s">
        <v>70</v>
      </c>
      <c r="B926" s="2" t="n">
        <v>3</v>
      </c>
      <c r="C926" s="2" t="n">
        <v>124</v>
      </c>
      <c r="D926" s="2" t="n">
        <v>1</v>
      </c>
      <c r="E926" s="2" t="n">
        <v>540</v>
      </c>
      <c r="F926" s="2" t="n">
        <v>100</v>
      </c>
      <c r="G926" s="2" t="s">
        <v>37</v>
      </c>
      <c r="H926" s="6" t="str">
        <f aca="false">A926&amp;"_"&amp;B926</f>
        <v>retiro_3</v>
      </c>
      <c r="I926" s="6" t="str">
        <f aca="false">H926&amp;"_"&amp;C926&amp;"_"&amp;G926</f>
        <v>retiro_3_124_Tabebuia cassinoides</v>
      </c>
      <c r="J926" s="6" t="n">
        <f aca="false">IF(COUNTIF($I$2:I926,I926)=1,1,0)</f>
        <v>1</v>
      </c>
      <c r="K926" s="6" t="n">
        <f aca="false">E926*$Q$2</f>
        <v>54</v>
      </c>
      <c r="L926" s="7" t="n">
        <f aca="false">K926/PI()</f>
        <v>17.1887338539247</v>
      </c>
      <c r="M926" s="8" t="n">
        <f aca="false">PI()*L926^2/40000</f>
        <v>0.0232047907027983</v>
      </c>
      <c r="N926" s="7" t="n">
        <f aca="false">F926*$Q$3</f>
        <v>10</v>
      </c>
      <c r="O926" s="3"/>
      <c r="P926" s="3"/>
      <c r="Q926" s="3"/>
    </row>
    <row r="927" customFormat="false" ht="15" hidden="false" customHeight="false" outlineLevel="0" collapsed="false">
      <c r="A927" s="2" t="s">
        <v>70</v>
      </c>
      <c r="B927" s="2" t="n">
        <v>3</v>
      </c>
      <c r="C927" s="2" t="n">
        <v>125</v>
      </c>
      <c r="D927" s="2" t="n">
        <v>1</v>
      </c>
      <c r="E927" s="2" t="n">
        <v>290</v>
      </c>
      <c r="F927" s="2" t="n">
        <v>50</v>
      </c>
      <c r="G927" s="2" t="s">
        <v>71</v>
      </c>
      <c r="H927" s="6" t="str">
        <f aca="false">A927&amp;"_"&amp;B927</f>
        <v>retiro_3</v>
      </c>
      <c r="I927" s="6" t="str">
        <f aca="false">H927&amp;"_"&amp;C927&amp;"_"&amp;G927</f>
        <v>retiro_3_125_Mela 1</v>
      </c>
      <c r="J927" s="6" t="n">
        <f aca="false">IF(COUNTIF($I$2:I927,I927)=1,1,0)</f>
        <v>1</v>
      </c>
      <c r="K927" s="6" t="n">
        <f aca="false">E927*$Q$2</f>
        <v>29</v>
      </c>
      <c r="L927" s="7" t="n">
        <f aca="false">K927/PI()</f>
        <v>9.23098669932993</v>
      </c>
      <c r="M927" s="8" t="n">
        <f aca="false">PI()*L927^2/40000</f>
        <v>0.0066924653570142</v>
      </c>
      <c r="N927" s="7" t="n">
        <f aca="false">F927*$Q$3</f>
        <v>5</v>
      </c>
      <c r="O927" s="3"/>
      <c r="P927" s="3"/>
      <c r="Q927" s="3"/>
    </row>
    <row r="928" customFormat="false" ht="15" hidden="false" customHeight="false" outlineLevel="0" collapsed="false">
      <c r="A928" s="2" t="s">
        <v>70</v>
      </c>
      <c r="B928" s="2" t="n">
        <v>3</v>
      </c>
      <c r="C928" s="2" t="n">
        <v>126</v>
      </c>
      <c r="D928" s="2" t="n">
        <v>1</v>
      </c>
      <c r="E928" s="2" t="n">
        <v>250</v>
      </c>
      <c r="F928" s="2" t="n">
        <v>70</v>
      </c>
      <c r="G928" s="2" t="s">
        <v>37</v>
      </c>
      <c r="H928" s="6" t="str">
        <f aca="false">A928&amp;"_"&amp;B928</f>
        <v>retiro_3</v>
      </c>
      <c r="I928" s="6" t="str">
        <f aca="false">H928&amp;"_"&amp;C928&amp;"_"&amp;G928</f>
        <v>retiro_3_126_Tabebuia cassinoides</v>
      </c>
      <c r="J928" s="6" t="n">
        <f aca="false">IF(COUNTIF($I$2:I928,I928)=1,1,0)</f>
        <v>1</v>
      </c>
      <c r="K928" s="6" t="n">
        <f aca="false">E928*$Q$2</f>
        <v>25</v>
      </c>
      <c r="L928" s="7" t="n">
        <f aca="false">K928/PI()</f>
        <v>7.95774715459477</v>
      </c>
      <c r="M928" s="8" t="n">
        <f aca="false">PI()*L928^2/40000</f>
        <v>0.00497359197162173</v>
      </c>
      <c r="N928" s="7" t="n">
        <f aca="false">F928*$Q$3</f>
        <v>7</v>
      </c>
      <c r="O928" s="3"/>
      <c r="P928" s="3"/>
      <c r="Q928" s="3"/>
    </row>
    <row r="929" customFormat="false" ht="15" hidden="false" customHeight="false" outlineLevel="0" collapsed="false">
      <c r="A929" s="2" t="s">
        <v>70</v>
      </c>
      <c r="B929" s="2" t="n">
        <v>3</v>
      </c>
      <c r="C929" s="2" t="n">
        <v>127</v>
      </c>
      <c r="D929" s="2" t="n">
        <v>1</v>
      </c>
      <c r="E929" s="2" t="n">
        <v>240</v>
      </c>
      <c r="F929" s="2" t="n">
        <v>90</v>
      </c>
      <c r="G929" s="2" t="s">
        <v>71</v>
      </c>
      <c r="H929" s="6" t="str">
        <f aca="false">A929&amp;"_"&amp;B929</f>
        <v>retiro_3</v>
      </c>
      <c r="I929" s="6" t="str">
        <f aca="false">H929&amp;"_"&amp;C929&amp;"_"&amp;G929</f>
        <v>retiro_3_127_Mela 1</v>
      </c>
      <c r="J929" s="6" t="n">
        <f aca="false">IF(COUNTIF($I$2:I929,I929)=1,1,0)</f>
        <v>1</v>
      </c>
      <c r="K929" s="6" t="n">
        <f aca="false">E929*$Q$2</f>
        <v>24</v>
      </c>
      <c r="L929" s="7" t="n">
        <f aca="false">K929/PI()</f>
        <v>7.63943726841098</v>
      </c>
      <c r="M929" s="8" t="n">
        <f aca="false">PI()*L929^2/40000</f>
        <v>0.00458366236104659</v>
      </c>
      <c r="N929" s="7" t="n">
        <f aca="false">F929*$Q$3</f>
        <v>9</v>
      </c>
      <c r="O929" s="3"/>
      <c r="P929" s="3"/>
      <c r="Q929" s="3"/>
    </row>
    <row r="930" customFormat="false" ht="15" hidden="false" customHeight="false" outlineLevel="0" collapsed="false">
      <c r="A930" s="2" t="s">
        <v>70</v>
      </c>
      <c r="B930" s="2" t="n">
        <v>3</v>
      </c>
      <c r="C930" s="2" t="n">
        <v>128</v>
      </c>
      <c r="D930" s="2" t="n">
        <v>1</v>
      </c>
      <c r="E930" s="2" t="n">
        <v>190</v>
      </c>
      <c r="F930" s="2" t="n">
        <v>90</v>
      </c>
      <c r="G930" s="2" t="s">
        <v>37</v>
      </c>
      <c r="H930" s="6" t="str">
        <f aca="false">A930&amp;"_"&amp;B930</f>
        <v>retiro_3</v>
      </c>
      <c r="I930" s="6" t="str">
        <f aca="false">H930&amp;"_"&amp;C930&amp;"_"&amp;G930</f>
        <v>retiro_3_128_Tabebuia cassinoides</v>
      </c>
      <c r="J930" s="6" t="n">
        <f aca="false">IF(COUNTIF($I$2:I930,I930)=1,1,0)</f>
        <v>1</v>
      </c>
      <c r="K930" s="6" t="n">
        <f aca="false">E930*$Q$2</f>
        <v>19</v>
      </c>
      <c r="L930" s="7" t="n">
        <f aca="false">K930/PI()</f>
        <v>6.04788783749202</v>
      </c>
      <c r="M930" s="8" t="n">
        <f aca="false">PI()*L930^2/40000</f>
        <v>0.00287274672280871</v>
      </c>
      <c r="N930" s="7" t="n">
        <f aca="false">F930*$Q$3</f>
        <v>9</v>
      </c>
      <c r="O930" s="3"/>
      <c r="P930" s="3"/>
      <c r="Q930" s="3"/>
    </row>
    <row r="931" customFormat="false" ht="15" hidden="false" customHeight="false" outlineLevel="0" collapsed="false">
      <c r="A931" s="2" t="s">
        <v>70</v>
      </c>
      <c r="B931" s="2" t="n">
        <v>3</v>
      </c>
      <c r="C931" s="2" t="n">
        <v>129</v>
      </c>
      <c r="D931" s="2" t="n">
        <v>1</v>
      </c>
      <c r="E931" s="2" t="n">
        <v>230</v>
      </c>
      <c r="F931" s="2" t="n">
        <v>90</v>
      </c>
      <c r="G931" s="2" t="s">
        <v>60</v>
      </c>
      <c r="H931" s="6" t="str">
        <f aca="false">A931&amp;"_"&amp;B931</f>
        <v>retiro_3</v>
      </c>
      <c r="I931" s="6" t="str">
        <f aca="false">H931&amp;"_"&amp;C931&amp;"_"&amp;G931</f>
        <v>retiro_3_129_Alchornea triplinervia</v>
      </c>
      <c r="J931" s="6" t="n">
        <f aca="false">IF(COUNTIF($I$2:I931,I931)=1,1,0)</f>
        <v>1</v>
      </c>
      <c r="K931" s="6" t="n">
        <f aca="false">E931*$Q$2</f>
        <v>23</v>
      </c>
      <c r="L931" s="7" t="n">
        <f aca="false">K931/PI()</f>
        <v>7.32112738222719</v>
      </c>
      <c r="M931" s="8" t="n">
        <f aca="false">PI()*L931^2/40000</f>
        <v>0.00420964824478063</v>
      </c>
      <c r="N931" s="7" t="n">
        <f aca="false">F931*$Q$3</f>
        <v>9</v>
      </c>
      <c r="O931" s="3"/>
      <c r="P931" s="3"/>
      <c r="Q931" s="3"/>
    </row>
    <row r="932" customFormat="false" ht="15" hidden="false" customHeight="false" outlineLevel="0" collapsed="false">
      <c r="A932" s="2" t="s">
        <v>70</v>
      </c>
      <c r="B932" s="2" t="n">
        <v>3</v>
      </c>
      <c r="C932" s="2" t="n">
        <v>130</v>
      </c>
      <c r="D932" s="2" t="n">
        <v>1</v>
      </c>
      <c r="E932" s="2" t="n">
        <v>280</v>
      </c>
      <c r="F932" s="2" t="n">
        <v>120</v>
      </c>
      <c r="G932" s="2" t="s">
        <v>37</v>
      </c>
      <c r="H932" s="6" t="str">
        <f aca="false">A932&amp;"_"&amp;B932</f>
        <v>retiro_3</v>
      </c>
      <c r="I932" s="6" t="str">
        <f aca="false">H932&amp;"_"&amp;C932&amp;"_"&amp;G932</f>
        <v>retiro_3_130_Tabebuia cassinoides</v>
      </c>
      <c r="J932" s="6" t="n">
        <f aca="false">IF(COUNTIF($I$2:I932,I932)=1,1,0)</f>
        <v>1</v>
      </c>
      <c r="K932" s="6" t="n">
        <f aca="false">E932*$Q$2</f>
        <v>28</v>
      </c>
      <c r="L932" s="7" t="n">
        <f aca="false">K932/PI()</f>
        <v>8.91267681314614</v>
      </c>
      <c r="M932" s="8" t="n">
        <f aca="false">PI()*L932^2/40000</f>
        <v>0.0062388737692023</v>
      </c>
      <c r="N932" s="7" t="n">
        <f aca="false">F932*$Q$3</f>
        <v>12</v>
      </c>
      <c r="O932" s="3"/>
      <c r="P932" s="3"/>
      <c r="Q932" s="3"/>
    </row>
    <row r="933" customFormat="false" ht="15" hidden="false" customHeight="false" outlineLevel="0" collapsed="false">
      <c r="A933" s="2" t="s">
        <v>70</v>
      </c>
      <c r="B933" s="2" t="n">
        <v>3</v>
      </c>
      <c r="C933" s="2" t="n">
        <v>131</v>
      </c>
      <c r="D933" s="2" t="n">
        <v>1</v>
      </c>
      <c r="E933" s="2" t="n">
        <v>180</v>
      </c>
      <c r="F933" s="2" t="n">
        <v>70</v>
      </c>
      <c r="G933" s="2" t="s">
        <v>71</v>
      </c>
      <c r="H933" s="6" t="str">
        <f aca="false">A933&amp;"_"&amp;B933</f>
        <v>retiro_3</v>
      </c>
      <c r="I933" s="6" t="str">
        <f aca="false">H933&amp;"_"&amp;C933&amp;"_"&amp;G933</f>
        <v>retiro_3_131_Mela 1</v>
      </c>
      <c r="J933" s="6" t="n">
        <f aca="false">IF(COUNTIF($I$2:I933,I933)=1,1,0)</f>
        <v>1</v>
      </c>
      <c r="K933" s="6" t="n">
        <f aca="false">E933*$Q$2</f>
        <v>18</v>
      </c>
      <c r="L933" s="7" t="n">
        <f aca="false">K933/PI()</f>
        <v>5.72957795130823</v>
      </c>
      <c r="M933" s="8" t="n">
        <f aca="false">PI()*L933^2/40000</f>
        <v>0.0025783100780887</v>
      </c>
      <c r="N933" s="7" t="n">
        <f aca="false">F933*$Q$3</f>
        <v>7</v>
      </c>
      <c r="O933" s="3"/>
      <c r="P933" s="3"/>
      <c r="Q933" s="3"/>
    </row>
    <row r="934" customFormat="false" ht="15" hidden="false" customHeight="false" outlineLevel="0" collapsed="false">
      <c r="A934" s="2" t="s">
        <v>70</v>
      </c>
      <c r="B934" s="2" t="n">
        <v>3</v>
      </c>
      <c r="C934" s="2" t="n">
        <v>132</v>
      </c>
      <c r="D934" s="2" t="n">
        <v>1</v>
      </c>
      <c r="E934" s="2" t="n">
        <v>360</v>
      </c>
      <c r="F934" s="2" t="n">
        <v>80</v>
      </c>
      <c r="G934" s="2" t="s">
        <v>45</v>
      </c>
      <c r="H934" s="6" t="str">
        <f aca="false">A934&amp;"_"&amp;B934</f>
        <v>retiro_3</v>
      </c>
      <c r="I934" s="6" t="str">
        <f aca="false">H934&amp;"_"&amp;C934&amp;"_"&amp;G934</f>
        <v>retiro_3_132_Coussapoa micropoda</v>
      </c>
      <c r="J934" s="6" t="n">
        <f aca="false">IF(COUNTIF($I$2:I934,I934)=1,1,0)</f>
        <v>1</v>
      </c>
      <c r="K934" s="6" t="n">
        <f aca="false">E934*$Q$2</f>
        <v>36</v>
      </c>
      <c r="L934" s="7" t="n">
        <f aca="false">K934/PI()</f>
        <v>11.4591559026165</v>
      </c>
      <c r="M934" s="8" t="n">
        <f aca="false">PI()*L934^2/40000</f>
        <v>0.0103132403123548</v>
      </c>
      <c r="N934" s="7" t="n">
        <f aca="false">F934*$Q$3</f>
        <v>8</v>
      </c>
      <c r="O934" s="3"/>
      <c r="P934" s="3"/>
      <c r="Q934" s="3"/>
    </row>
    <row r="935" customFormat="false" ht="15" hidden="false" customHeight="false" outlineLevel="0" collapsed="false">
      <c r="A935" s="2" t="s">
        <v>70</v>
      </c>
      <c r="B935" s="2" t="n">
        <v>3</v>
      </c>
      <c r="C935" s="2" t="n">
        <v>133</v>
      </c>
      <c r="D935" s="2" t="n">
        <v>1</v>
      </c>
      <c r="E935" s="2" t="n">
        <v>220</v>
      </c>
      <c r="F935" s="2" t="n">
        <v>80</v>
      </c>
      <c r="G935" s="2" t="s">
        <v>37</v>
      </c>
      <c r="H935" s="6" t="str">
        <f aca="false">A935&amp;"_"&amp;B935</f>
        <v>retiro_3</v>
      </c>
      <c r="I935" s="6" t="str">
        <f aca="false">H935&amp;"_"&amp;C935&amp;"_"&amp;G935</f>
        <v>retiro_3_133_Tabebuia cassinoides</v>
      </c>
      <c r="J935" s="6" t="n">
        <f aca="false">IF(COUNTIF($I$2:I935,I935)=1,1,0)</f>
        <v>1</v>
      </c>
      <c r="K935" s="6" t="n">
        <f aca="false">E935*$Q$2</f>
        <v>22</v>
      </c>
      <c r="L935" s="7" t="n">
        <f aca="false">K935/PI()</f>
        <v>7.0028174960434</v>
      </c>
      <c r="M935" s="8" t="n">
        <f aca="false">PI()*L935^2/40000</f>
        <v>0.00385154962282387</v>
      </c>
      <c r="N935" s="7" t="n">
        <f aca="false">F935*$Q$3</f>
        <v>8</v>
      </c>
      <c r="O935" s="3"/>
      <c r="P935" s="3"/>
      <c r="Q935" s="3"/>
    </row>
    <row r="936" customFormat="false" ht="15" hidden="false" customHeight="false" outlineLevel="0" collapsed="false">
      <c r="A936" s="2" t="s">
        <v>70</v>
      </c>
      <c r="B936" s="2" t="n">
        <v>3</v>
      </c>
      <c r="C936" s="2" t="n">
        <v>134</v>
      </c>
      <c r="D936" s="2" t="n">
        <v>1</v>
      </c>
      <c r="E936" s="2" t="n">
        <v>380</v>
      </c>
      <c r="F936" s="2" t="n">
        <v>110</v>
      </c>
      <c r="G936" s="2" t="s">
        <v>37</v>
      </c>
      <c r="H936" s="6" t="str">
        <f aca="false">A936&amp;"_"&amp;B936</f>
        <v>retiro_3</v>
      </c>
      <c r="I936" s="6" t="str">
        <f aca="false">H936&amp;"_"&amp;C936&amp;"_"&amp;G936</f>
        <v>retiro_3_134_Tabebuia cassinoides</v>
      </c>
      <c r="J936" s="6" t="n">
        <f aca="false">IF(COUNTIF($I$2:I936,I936)=1,1,0)</f>
        <v>1</v>
      </c>
      <c r="K936" s="6" t="n">
        <f aca="false">E936*$Q$2</f>
        <v>38</v>
      </c>
      <c r="L936" s="7" t="n">
        <f aca="false">K936/PI()</f>
        <v>12.095775674984</v>
      </c>
      <c r="M936" s="8" t="n">
        <f aca="false">PI()*L936^2/40000</f>
        <v>0.0114909868912348</v>
      </c>
      <c r="N936" s="7" t="n">
        <f aca="false">F936*$Q$3</f>
        <v>11</v>
      </c>
      <c r="O936" s="3"/>
      <c r="P936" s="3"/>
      <c r="Q936" s="3"/>
    </row>
    <row r="937" customFormat="false" ht="15" hidden="false" customHeight="false" outlineLevel="0" collapsed="false">
      <c r="A937" s="2" t="s">
        <v>70</v>
      </c>
      <c r="B937" s="2" t="n">
        <v>3</v>
      </c>
      <c r="C937" s="2" t="n">
        <v>135</v>
      </c>
      <c r="D937" s="2" t="n">
        <v>1</v>
      </c>
      <c r="E937" s="2" t="n">
        <v>220</v>
      </c>
      <c r="F937" s="2" t="n">
        <v>60</v>
      </c>
      <c r="G937" s="2" t="s">
        <v>71</v>
      </c>
      <c r="H937" s="6" t="str">
        <f aca="false">A937&amp;"_"&amp;B937</f>
        <v>retiro_3</v>
      </c>
      <c r="I937" s="6" t="str">
        <f aca="false">H937&amp;"_"&amp;C937&amp;"_"&amp;G937</f>
        <v>retiro_3_135_Mela 1</v>
      </c>
      <c r="J937" s="6" t="n">
        <f aca="false">IF(COUNTIF($I$2:I937,I937)=1,1,0)</f>
        <v>1</v>
      </c>
      <c r="K937" s="6" t="n">
        <f aca="false">E937*$Q$2</f>
        <v>22</v>
      </c>
      <c r="L937" s="7" t="n">
        <f aca="false">K937/PI()</f>
        <v>7.0028174960434</v>
      </c>
      <c r="M937" s="8" t="n">
        <f aca="false">PI()*L937^2/40000</f>
        <v>0.00385154962282387</v>
      </c>
      <c r="N937" s="7" t="n">
        <f aca="false">F937*$Q$3</f>
        <v>6</v>
      </c>
      <c r="O937" s="3"/>
      <c r="P937" s="3"/>
      <c r="Q937" s="3"/>
    </row>
    <row r="938" customFormat="false" ht="15" hidden="false" customHeight="false" outlineLevel="0" collapsed="false">
      <c r="A938" s="2" t="s">
        <v>70</v>
      </c>
      <c r="B938" s="2" t="n">
        <v>3</v>
      </c>
      <c r="C938" s="2" t="n">
        <v>135</v>
      </c>
      <c r="D938" s="2" t="n">
        <v>2</v>
      </c>
      <c r="E938" s="2" t="n">
        <v>170</v>
      </c>
      <c r="F938" s="2" t="n">
        <v>60</v>
      </c>
      <c r="G938" s="2" t="s">
        <v>71</v>
      </c>
      <c r="H938" s="6" t="str">
        <f aca="false">A938&amp;"_"&amp;B938</f>
        <v>retiro_3</v>
      </c>
      <c r="I938" s="6" t="str">
        <f aca="false">H938&amp;"_"&amp;C938&amp;"_"&amp;G938</f>
        <v>retiro_3_135_Mela 1</v>
      </c>
      <c r="J938" s="6" t="n">
        <f aca="false">IF(COUNTIF($I$2:I938,I938)=1,1,0)</f>
        <v>0</v>
      </c>
      <c r="K938" s="6" t="n">
        <f aca="false">E938*$Q$2</f>
        <v>17</v>
      </c>
      <c r="L938" s="7" t="n">
        <f aca="false">K938/PI()</f>
        <v>5.41126806512444</v>
      </c>
      <c r="M938" s="8" t="n">
        <f aca="false">PI()*L938^2/40000</f>
        <v>0.00229978892767789</v>
      </c>
      <c r="N938" s="7" t="n">
        <f aca="false">F938*$Q$3</f>
        <v>6</v>
      </c>
      <c r="O938" s="3"/>
      <c r="P938" s="3"/>
      <c r="Q938" s="3"/>
    </row>
    <row r="939" customFormat="false" ht="15" hidden="false" customHeight="false" outlineLevel="0" collapsed="false">
      <c r="A939" s="2" t="s">
        <v>70</v>
      </c>
      <c r="B939" s="2" t="n">
        <v>3</v>
      </c>
      <c r="C939" s="2" t="n">
        <v>135</v>
      </c>
      <c r="D939" s="2" t="n">
        <v>3</v>
      </c>
      <c r="E939" s="2" t="n">
        <v>140</v>
      </c>
      <c r="F939" s="2" t="n">
        <v>60</v>
      </c>
      <c r="G939" s="2" t="s">
        <v>71</v>
      </c>
      <c r="H939" s="6" t="str">
        <f aca="false">A939&amp;"_"&amp;B939</f>
        <v>retiro_3</v>
      </c>
      <c r="I939" s="6" t="str">
        <f aca="false">H939&amp;"_"&amp;C939&amp;"_"&amp;G939</f>
        <v>retiro_3_135_Mela 1</v>
      </c>
      <c r="J939" s="6" t="n">
        <f aca="false">IF(COUNTIF($I$2:I939,I939)=1,1,0)</f>
        <v>0</v>
      </c>
      <c r="K939" s="6" t="n">
        <f aca="false">E939*$Q$2</f>
        <v>14</v>
      </c>
      <c r="L939" s="7" t="n">
        <f aca="false">K939/PI()</f>
        <v>4.45633840657307</v>
      </c>
      <c r="M939" s="8" t="n">
        <f aca="false">PI()*L939^2/40000</f>
        <v>0.00155971844230057</v>
      </c>
      <c r="N939" s="7" t="n">
        <f aca="false">F939*$Q$3</f>
        <v>6</v>
      </c>
      <c r="O939" s="3"/>
      <c r="P939" s="3"/>
      <c r="Q939" s="3"/>
    </row>
    <row r="940" customFormat="false" ht="15" hidden="false" customHeight="false" outlineLevel="0" collapsed="false">
      <c r="A940" s="2" t="s">
        <v>70</v>
      </c>
      <c r="B940" s="2" t="n">
        <v>3</v>
      </c>
      <c r="C940" s="2" t="n">
        <v>136</v>
      </c>
      <c r="D940" s="2" t="n">
        <v>1</v>
      </c>
      <c r="E940" s="2" t="n">
        <v>260</v>
      </c>
      <c r="F940" s="2" t="n">
        <v>80</v>
      </c>
      <c r="G940" s="2" t="s">
        <v>37</v>
      </c>
      <c r="H940" s="6" t="str">
        <f aca="false">A940&amp;"_"&amp;B940</f>
        <v>retiro_3</v>
      </c>
      <c r="I940" s="6" t="str">
        <f aca="false">H940&amp;"_"&amp;C940&amp;"_"&amp;G940</f>
        <v>retiro_3_136_Tabebuia cassinoides</v>
      </c>
      <c r="J940" s="6" t="n">
        <f aca="false">IF(COUNTIF($I$2:I940,I940)=1,1,0)</f>
        <v>1</v>
      </c>
      <c r="K940" s="6" t="n">
        <f aca="false">E940*$Q$2</f>
        <v>26</v>
      </c>
      <c r="L940" s="7" t="n">
        <f aca="false">K940/PI()</f>
        <v>8.27605704077856</v>
      </c>
      <c r="M940" s="8" t="n">
        <f aca="false">PI()*L940^2/40000</f>
        <v>0.00537943707650606</v>
      </c>
      <c r="N940" s="7" t="n">
        <f aca="false">F940*$Q$3</f>
        <v>8</v>
      </c>
      <c r="O940" s="3"/>
      <c r="P940" s="3"/>
      <c r="Q940" s="3"/>
    </row>
    <row r="941" customFormat="false" ht="15" hidden="false" customHeight="false" outlineLevel="0" collapsed="false">
      <c r="A941" s="2" t="s">
        <v>70</v>
      </c>
      <c r="B941" s="2" t="n">
        <v>3</v>
      </c>
      <c r="C941" s="2" t="n">
        <v>137</v>
      </c>
      <c r="D941" s="2" t="n">
        <v>1</v>
      </c>
      <c r="E941" s="2" t="n">
        <v>260</v>
      </c>
      <c r="F941" s="2" t="n">
        <v>50</v>
      </c>
      <c r="G941" s="2" t="s">
        <v>37</v>
      </c>
      <c r="H941" s="6" t="str">
        <f aca="false">A941&amp;"_"&amp;B941</f>
        <v>retiro_3</v>
      </c>
      <c r="I941" s="6" t="str">
        <f aca="false">H941&amp;"_"&amp;C941&amp;"_"&amp;G941</f>
        <v>retiro_3_137_Tabebuia cassinoides</v>
      </c>
      <c r="J941" s="6" t="n">
        <f aca="false">IF(COUNTIF($I$2:I941,I941)=1,1,0)</f>
        <v>1</v>
      </c>
      <c r="K941" s="6" t="n">
        <f aca="false">E941*$Q$2</f>
        <v>26</v>
      </c>
      <c r="L941" s="7" t="n">
        <f aca="false">K941/PI()</f>
        <v>8.27605704077856</v>
      </c>
      <c r="M941" s="8" t="n">
        <f aca="false">PI()*L941^2/40000</f>
        <v>0.00537943707650606</v>
      </c>
      <c r="N941" s="7" t="n">
        <f aca="false">F941*$Q$3</f>
        <v>5</v>
      </c>
      <c r="O941" s="3"/>
      <c r="P941" s="3"/>
      <c r="Q941" s="3"/>
    </row>
    <row r="942" customFormat="false" ht="15" hidden="false" customHeight="false" outlineLevel="0" collapsed="false">
      <c r="A942" s="2" t="s">
        <v>70</v>
      </c>
      <c r="B942" s="2" t="n">
        <v>3</v>
      </c>
      <c r="C942" s="2" t="n">
        <v>138</v>
      </c>
      <c r="D942" s="2" t="n">
        <v>1</v>
      </c>
      <c r="E942" s="2" t="n">
        <v>240</v>
      </c>
      <c r="F942" s="2" t="n">
        <v>50</v>
      </c>
      <c r="G942" s="2" t="s">
        <v>71</v>
      </c>
      <c r="H942" s="6" t="str">
        <f aca="false">A942&amp;"_"&amp;B942</f>
        <v>retiro_3</v>
      </c>
      <c r="I942" s="6" t="str">
        <f aca="false">H942&amp;"_"&amp;C942&amp;"_"&amp;G942</f>
        <v>retiro_3_138_Mela 1</v>
      </c>
      <c r="J942" s="6" t="n">
        <f aca="false">IF(COUNTIF($I$2:I942,I942)=1,1,0)</f>
        <v>1</v>
      </c>
      <c r="K942" s="6" t="n">
        <f aca="false">E942*$Q$2</f>
        <v>24</v>
      </c>
      <c r="L942" s="7" t="n">
        <f aca="false">K942/PI()</f>
        <v>7.63943726841098</v>
      </c>
      <c r="M942" s="8" t="n">
        <f aca="false">PI()*L942^2/40000</f>
        <v>0.00458366236104659</v>
      </c>
      <c r="N942" s="7" t="n">
        <f aca="false">F942*$Q$3</f>
        <v>5</v>
      </c>
      <c r="O942" s="3"/>
      <c r="P942" s="3"/>
      <c r="Q942" s="3"/>
    </row>
    <row r="943" customFormat="false" ht="15" hidden="false" customHeight="false" outlineLevel="0" collapsed="false">
      <c r="A943" s="2" t="s">
        <v>70</v>
      </c>
      <c r="B943" s="2" t="n">
        <v>4</v>
      </c>
      <c r="C943" s="2" t="n">
        <v>139</v>
      </c>
      <c r="D943" s="2" t="n">
        <v>1</v>
      </c>
      <c r="E943" s="2" t="n">
        <v>190</v>
      </c>
      <c r="F943" s="2" t="n">
        <v>50</v>
      </c>
      <c r="G943" s="2" t="s">
        <v>37</v>
      </c>
      <c r="H943" s="6" t="str">
        <f aca="false">A943&amp;"_"&amp;B943</f>
        <v>retiro_4</v>
      </c>
      <c r="I943" s="6" t="str">
        <f aca="false">H943&amp;"_"&amp;C943&amp;"_"&amp;G943</f>
        <v>retiro_4_139_Tabebuia cassinoides</v>
      </c>
      <c r="J943" s="6" t="n">
        <f aca="false">IF(COUNTIF($I$2:I943,I943)=1,1,0)</f>
        <v>1</v>
      </c>
      <c r="K943" s="6" t="n">
        <f aca="false">E943*$Q$2</f>
        <v>19</v>
      </c>
      <c r="L943" s="7" t="n">
        <f aca="false">K943/PI()</f>
        <v>6.04788783749202</v>
      </c>
      <c r="M943" s="8" t="n">
        <f aca="false">PI()*L943^2/40000</f>
        <v>0.00287274672280871</v>
      </c>
      <c r="N943" s="7" t="n">
        <f aca="false">F943*$Q$3</f>
        <v>5</v>
      </c>
      <c r="O943" s="3"/>
      <c r="P943" s="3"/>
      <c r="Q943" s="3"/>
    </row>
    <row r="944" customFormat="false" ht="15" hidden="false" customHeight="false" outlineLevel="0" collapsed="false">
      <c r="A944" s="2" t="s">
        <v>70</v>
      </c>
      <c r="B944" s="2" t="n">
        <v>4</v>
      </c>
      <c r="C944" s="2" t="n">
        <v>139</v>
      </c>
      <c r="D944" s="2" t="n">
        <v>2</v>
      </c>
      <c r="E944" s="2" t="n">
        <v>140</v>
      </c>
      <c r="F944" s="2" t="n">
        <v>50</v>
      </c>
      <c r="G944" s="2" t="s">
        <v>37</v>
      </c>
      <c r="H944" s="6" t="str">
        <f aca="false">A944&amp;"_"&amp;B944</f>
        <v>retiro_4</v>
      </c>
      <c r="I944" s="6" t="str">
        <f aca="false">H944&amp;"_"&amp;C944&amp;"_"&amp;G944</f>
        <v>retiro_4_139_Tabebuia cassinoides</v>
      </c>
      <c r="J944" s="6" t="n">
        <f aca="false">IF(COUNTIF($I$2:I944,I944)=1,1,0)</f>
        <v>0</v>
      </c>
      <c r="K944" s="6" t="n">
        <f aca="false">E944*$Q$2</f>
        <v>14</v>
      </c>
      <c r="L944" s="7" t="n">
        <f aca="false">K944/PI()</f>
        <v>4.45633840657307</v>
      </c>
      <c r="M944" s="8" t="n">
        <f aca="false">PI()*L944^2/40000</f>
        <v>0.00155971844230057</v>
      </c>
      <c r="N944" s="7" t="n">
        <f aca="false">F944*$Q$3</f>
        <v>5</v>
      </c>
      <c r="O944" s="3"/>
      <c r="P944" s="3"/>
      <c r="Q944" s="3"/>
    </row>
    <row r="945" customFormat="false" ht="15" hidden="false" customHeight="false" outlineLevel="0" collapsed="false">
      <c r="A945" s="2" t="s">
        <v>70</v>
      </c>
      <c r="B945" s="2" t="n">
        <v>4</v>
      </c>
      <c r="C945" s="2" t="n">
        <v>139</v>
      </c>
      <c r="D945" s="2" t="n">
        <v>3</v>
      </c>
      <c r="E945" s="2" t="n">
        <v>40</v>
      </c>
      <c r="F945" s="2" t="n">
        <v>50</v>
      </c>
      <c r="G945" s="2" t="s">
        <v>37</v>
      </c>
      <c r="H945" s="6" t="str">
        <f aca="false">A945&amp;"_"&amp;B945</f>
        <v>retiro_4</v>
      </c>
      <c r="I945" s="6" t="str">
        <f aca="false">H945&amp;"_"&amp;C945&amp;"_"&amp;G945</f>
        <v>retiro_4_139_Tabebuia cassinoides</v>
      </c>
      <c r="J945" s="6" t="n">
        <f aca="false">IF(COUNTIF($I$2:I945,I945)=1,1,0)</f>
        <v>0</v>
      </c>
      <c r="K945" s="6" t="n">
        <f aca="false">E945*$Q$2</f>
        <v>4</v>
      </c>
      <c r="L945" s="7" t="n">
        <f aca="false">K945/PI()</f>
        <v>1.27323954473516</v>
      </c>
      <c r="M945" s="8" t="n">
        <f aca="false">PI()*L945^2/40000</f>
        <v>0.000127323954473516</v>
      </c>
      <c r="N945" s="7" t="n">
        <f aca="false">F945*$Q$3</f>
        <v>5</v>
      </c>
      <c r="O945" s="3"/>
      <c r="P945" s="3"/>
      <c r="Q945" s="3"/>
    </row>
    <row r="946" customFormat="false" ht="15" hidden="false" customHeight="false" outlineLevel="0" collapsed="false">
      <c r="A946" s="2" t="s">
        <v>70</v>
      </c>
      <c r="B946" s="2" t="n">
        <v>4</v>
      </c>
      <c r="C946" s="2" t="n">
        <v>139</v>
      </c>
      <c r="D946" s="2" t="n">
        <v>4</v>
      </c>
      <c r="E946" s="2" t="n">
        <v>60</v>
      </c>
      <c r="F946" s="2" t="n">
        <v>50</v>
      </c>
      <c r="G946" s="2" t="s">
        <v>37</v>
      </c>
      <c r="H946" s="6" t="str">
        <f aca="false">A946&amp;"_"&amp;B946</f>
        <v>retiro_4</v>
      </c>
      <c r="I946" s="6" t="str">
        <f aca="false">H946&amp;"_"&amp;C946&amp;"_"&amp;G946</f>
        <v>retiro_4_139_Tabebuia cassinoides</v>
      </c>
      <c r="J946" s="6" t="n">
        <f aca="false">IF(COUNTIF($I$2:I946,I946)=1,1,0)</f>
        <v>0</v>
      </c>
      <c r="K946" s="6" t="n">
        <f aca="false">E946*$Q$2</f>
        <v>6</v>
      </c>
      <c r="L946" s="7" t="n">
        <f aca="false">K946/PI()</f>
        <v>1.90985931710274</v>
      </c>
      <c r="M946" s="8" t="n">
        <f aca="false">PI()*L946^2/40000</f>
        <v>0.000286478897565412</v>
      </c>
      <c r="N946" s="7" t="n">
        <f aca="false">F946*$Q$3</f>
        <v>5</v>
      </c>
      <c r="O946" s="3"/>
      <c r="P946" s="3"/>
      <c r="Q946" s="3"/>
    </row>
    <row r="947" customFormat="false" ht="15" hidden="false" customHeight="false" outlineLevel="0" collapsed="false">
      <c r="A947" s="2" t="s">
        <v>70</v>
      </c>
      <c r="B947" s="2" t="n">
        <v>4</v>
      </c>
      <c r="C947" s="2" t="n">
        <v>139</v>
      </c>
      <c r="D947" s="2" t="n">
        <v>5</v>
      </c>
      <c r="E947" s="2" t="n">
        <v>30</v>
      </c>
      <c r="F947" s="2" t="n">
        <v>50</v>
      </c>
      <c r="G947" s="2" t="s">
        <v>37</v>
      </c>
      <c r="H947" s="6" t="str">
        <f aca="false">A947&amp;"_"&amp;B947</f>
        <v>retiro_4</v>
      </c>
      <c r="I947" s="6" t="str">
        <f aca="false">H947&amp;"_"&amp;C947&amp;"_"&amp;G947</f>
        <v>retiro_4_139_Tabebuia cassinoides</v>
      </c>
      <c r="J947" s="6" t="n">
        <f aca="false">IF(COUNTIF($I$2:I947,I947)=1,1,0)</f>
        <v>0</v>
      </c>
      <c r="K947" s="6" t="n">
        <f aca="false">E947*$Q$2</f>
        <v>3</v>
      </c>
      <c r="L947" s="7" t="n">
        <f aca="false">K947/PI()</f>
        <v>0.954929658551372</v>
      </c>
      <c r="M947" s="8" t="n">
        <f aca="false">PI()*L947^2/40000</f>
        <v>7.16197243913529E-005</v>
      </c>
      <c r="N947" s="7" t="n">
        <f aca="false">F947*$Q$3</f>
        <v>5</v>
      </c>
      <c r="O947" s="3"/>
      <c r="P947" s="3"/>
      <c r="Q947" s="3"/>
    </row>
    <row r="948" customFormat="false" ht="15" hidden="false" customHeight="false" outlineLevel="0" collapsed="false">
      <c r="A948" s="2" t="s">
        <v>70</v>
      </c>
      <c r="B948" s="2" t="n">
        <v>4</v>
      </c>
      <c r="C948" s="2" t="n">
        <v>139</v>
      </c>
      <c r="D948" s="2" t="n">
        <v>6</v>
      </c>
      <c r="E948" s="2" t="n">
        <v>160</v>
      </c>
      <c r="F948" s="2" t="n">
        <v>50</v>
      </c>
      <c r="G948" s="2" t="s">
        <v>37</v>
      </c>
      <c r="H948" s="6" t="str">
        <f aca="false">A948&amp;"_"&amp;B948</f>
        <v>retiro_4</v>
      </c>
      <c r="I948" s="6" t="str">
        <f aca="false">H948&amp;"_"&amp;C948&amp;"_"&amp;G948</f>
        <v>retiro_4_139_Tabebuia cassinoides</v>
      </c>
      <c r="J948" s="6" t="n">
        <f aca="false">IF(COUNTIF($I$2:I948,I948)=1,1,0)</f>
        <v>0</v>
      </c>
      <c r="K948" s="6" t="n">
        <f aca="false">E948*$Q$2</f>
        <v>16</v>
      </c>
      <c r="L948" s="7" t="n">
        <f aca="false">K948/PI()</f>
        <v>5.09295817894065</v>
      </c>
      <c r="M948" s="8" t="n">
        <f aca="false">PI()*L948^2/40000</f>
        <v>0.00203718327157626</v>
      </c>
      <c r="N948" s="7" t="n">
        <f aca="false">F948*$Q$3</f>
        <v>5</v>
      </c>
      <c r="O948" s="3"/>
      <c r="P948" s="3"/>
      <c r="Q948" s="3"/>
    </row>
    <row r="949" customFormat="false" ht="15" hidden="false" customHeight="false" outlineLevel="0" collapsed="false">
      <c r="A949" s="2" t="s">
        <v>70</v>
      </c>
      <c r="B949" s="2" t="n">
        <v>4</v>
      </c>
      <c r="C949" s="2" t="n">
        <v>139</v>
      </c>
      <c r="D949" s="2" t="n">
        <v>7</v>
      </c>
      <c r="E949" s="2" t="n">
        <v>80</v>
      </c>
      <c r="F949" s="2" t="n">
        <v>50</v>
      </c>
      <c r="G949" s="2" t="s">
        <v>37</v>
      </c>
      <c r="H949" s="6" t="str">
        <f aca="false">A949&amp;"_"&amp;B949</f>
        <v>retiro_4</v>
      </c>
      <c r="I949" s="6" t="str">
        <f aca="false">H949&amp;"_"&amp;C949&amp;"_"&amp;G949</f>
        <v>retiro_4_139_Tabebuia cassinoides</v>
      </c>
      <c r="J949" s="6" t="n">
        <f aca="false">IF(COUNTIF($I$2:I949,I949)=1,1,0)</f>
        <v>0</v>
      </c>
      <c r="K949" s="6" t="n">
        <f aca="false">E949*$Q$2</f>
        <v>8</v>
      </c>
      <c r="L949" s="7" t="n">
        <f aca="false">K949/PI()</f>
        <v>2.54647908947033</v>
      </c>
      <c r="M949" s="8" t="n">
        <f aca="false">PI()*L949^2/40000</f>
        <v>0.000509295817894065</v>
      </c>
      <c r="N949" s="7" t="n">
        <f aca="false">F949*$Q$3</f>
        <v>5</v>
      </c>
      <c r="O949" s="3"/>
      <c r="P949" s="3"/>
      <c r="Q949" s="3"/>
    </row>
    <row r="950" customFormat="false" ht="15" hidden="false" customHeight="false" outlineLevel="0" collapsed="false">
      <c r="A950" s="2" t="s">
        <v>70</v>
      </c>
      <c r="B950" s="2" t="n">
        <v>4</v>
      </c>
      <c r="C950" s="2" t="n">
        <v>139</v>
      </c>
      <c r="D950" s="2" t="n">
        <v>8</v>
      </c>
      <c r="E950" s="2" t="n">
        <v>80</v>
      </c>
      <c r="F950" s="2" t="n">
        <v>50</v>
      </c>
      <c r="G950" s="2" t="s">
        <v>37</v>
      </c>
      <c r="H950" s="6" t="str">
        <f aca="false">A950&amp;"_"&amp;B950</f>
        <v>retiro_4</v>
      </c>
      <c r="I950" s="6" t="str">
        <f aca="false">H950&amp;"_"&amp;C950&amp;"_"&amp;G950</f>
        <v>retiro_4_139_Tabebuia cassinoides</v>
      </c>
      <c r="J950" s="6" t="n">
        <f aca="false">IF(COUNTIF($I$2:I950,I950)=1,1,0)</f>
        <v>0</v>
      </c>
      <c r="K950" s="6" t="n">
        <f aca="false">E950*$Q$2</f>
        <v>8</v>
      </c>
      <c r="L950" s="7" t="n">
        <f aca="false">K950/PI()</f>
        <v>2.54647908947033</v>
      </c>
      <c r="M950" s="8" t="n">
        <f aca="false">PI()*L950^2/40000</f>
        <v>0.000509295817894065</v>
      </c>
      <c r="N950" s="7" t="n">
        <f aca="false">F950*$Q$3</f>
        <v>5</v>
      </c>
      <c r="O950" s="3"/>
      <c r="P950" s="3"/>
      <c r="Q950" s="3"/>
    </row>
    <row r="951" customFormat="false" ht="15" hidden="false" customHeight="false" outlineLevel="0" collapsed="false">
      <c r="A951" s="2" t="s">
        <v>70</v>
      </c>
      <c r="B951" s="2" t="n">
        <v>4</v>
      </c>
      <c r="C951" s="2" t="n">
        <v>139</v>
      </c>
      <c r="D951" s="2" t="n">
        <v>9</v>
      </c>
      <c r="E951" s="2" t="n">
        <v>140</v>
      </c>
      <c r="F951" s="2" t="n">
        <v>50</v>
      </c>
      <c r="G951" s="2" t="s">
        <v>37</v>
      </c>
      <c r="H951" s="6" t="str">
        <f aca="false">A951&amp;"_"&amp;B951</f>
        <v>retiro_4</v>
      </c>
      <c r="I951" s="6" t="str">
        <f aca="false">H951&amp;"_"&amp;C951&amp;"_"&amp;G951</f>
        <v>retiro_4_139_Tabebuia cassinoides</v>
      </c>
      <c r="J951" s="6" t="n">
        <f aca="false">IF(COUNTIF($I$2:I951,I951)=1,1,0)</f>
        <v>0</v>
      </c>
      <c r="K951" s="6" t="n">
        <f aca="false">E951*$Q$2</f>
        <v>14</v>
      </c>
      <c r="L951" s="7" t="n">
        <f aca="false">K951/PI()</f>
        <v>4.45633840657307</v>
      </c>
      <c r="M951" s="8" t="n">
        <f aca="false">PI()*L951^2/40000</f>
        <v>0.00155971844230057</v>
      </c>
      <c r="N951" s="7" t="n">
        <f aca="false">F951*$Q$3</f>
        <v>5</v>
      </c>
      <c r="O951" s="3"/>
      <c r="P951" s="3"/>
      <c r="Q951" s="3"/>
    </row>
    <row r="952" customFormat="false" ht="15" hidden="false" customHeight="false" outlineLevel="0" collapsed="false">
      <c r="A952" s="2" t="s">
        <v>70</v>
      </c>
      <c r="B952" s="2" t="n">
        <v>4</v>
      </c>
      <c r="C952" s="2" t="n">
        <v>139</v>
      </c>
      <c r="D952" s="2" t="n">
        <v>10</v>
      </c>
      <c r="E952" s="2" t="n">
        <v>60</v>
      </c>
      <c r="F952" s="2" t="n">
        <v>50</v>
      </c>
      <c r="G952" s="2" t="s">
        <v>37</v>
      </c>
      <c r="H952" s="6" t="str">
        <f aca="false">A952&amp;"_"&amp;B952</f>
        <v>retiro_4</v>
      </c>
      <c r="I952" s="6" t="str">
        <f aca="false">H952&amp;"_"&amp;C952&amp;"_"&amp;G952</f>
        <v>retiro_4_139_Tabebuia cassinoides</v>
      </c>
      <c r="J952" s="6" t="n">
        <f aca="false">IF(COUNTIF($I$2:I952,I952)=1,1,0)</f>
        <v>0</v>
      </c>
      <c r="K952" s="6" t="n">
        <f aca="false">E952*$Q$2</f>
        <v>6</v>
      </c>
      <c r="L952" s="7" t="n">
        <f aca="false">K952/PI()</f>
        <v>1.90985931710274</v>
      </c>
      <c r="M952" s="8" t="n">
        <f aca="false">PI()*L952^2/40000</f>
        <v>0.000286478897565412</v>
      </c>
      <c r="N952" s="7" t="n">
        <f aca="false">F952*$Q$3</f>
        <v>5</v>
      </c>
      <c r="O952" s="3"/>
      <c r="P952" s="3"/>
      <c r="Q952" s="3"/>
    </row>
    <row r="953" customFormat="false" ht="15" hidden="false" customHeight="false" outlineLevel="0" collapsed="false">
      <c r="A953" s="2" t="s">
        <v>70</v>
      </c>
      <c r="B953" s="2" t="n">
        <v>4</v>
      </c>
      <c r="C953" s="2" t="n">
        <v>139</v>
      </c>
      <c r="D953" s="2" t="n">
        <v>11</v>
      </c>
      <c r="E953" s="2" t="n">
        <v>70</v>
      </c>
      <c r="F953" s="2" t="n">
        <v>50</v>
      </c>
      <c r="G953" s="2" t="s">
        <v>37</v>
      </c>
      <c r="H953" s="6" t="str">
        <f aca="false">A953&amp;"_"&amp;B953</f>
        <v>retiro_4</v>
      </c>
      <c r="I953" s="6" t="str">
        <f aca="false">H953&amp;"_"&amp;C953&amp;"_"&amp;G953</f>
        <v>retiro_4_139_Tabebuia cassinoides</v>
      </c>
      <c r="J953" s="6" t="n">
        <f aca="false">IF(COUNTIF($I$2:I953,I953)=1,1,0)</f>
        <v>0</v>
      </c>
      <c r="K953" s="6" t="n">
        <f aca="false">E953*$Q$2</f>
        <v>7</v>
      </c>
      <c r="L953" s="7" t="n">
        <f aca="false">K953/PI()</f>
        <v>2.22816920328654</v>
      </c>
      <c r="M953" s="8" t="n">
        <f aca="false">PI()*L953^2/40000</f>
        <v>0.000389929610575144</v>
      </c>
      <c r="N953" s="7" t="n">
        <f aca="false">F953*$Q$3</f>
        <v>5</v>
      </c>
      <c r="O953" s="3"/>
      <c r="P953" s="3"/>
      <c r="Q953" s="3"/>
    </row>
    <row r="954" customFormat="false" ht="15" hidden="false" customHeight="false" outlineLevel="0" collapsed="false">
      <c r="A954" s="2" t="s">
        <v>70</v>
      </c>
      <c r="B954" s="2" t="n">
        <v>4</v>
      </c>
      <c r="C954" s="2" t="n">
        <v>140</v>
      </c>
      <c r="D954" s="2" t="n">
        <v>1</v>
      </c>
      <c r="E954" s="2" t="n">
        <v>190</v>
      </c>
      <c r="F954" s="2" t="n">
        <v>60</v>
      </c>
      <c r="G954" s="2" t="s">
        <v>37</v>
      </c>
      <c r="H954" s="6" t="str">
        <f aca="false">A954&amp;"_"&amp;B954</f>
        <v>retiro_4</v>
      </c>
      <c r="I954" s="6" t="str">
        <f aca="false">H954&amp;"_"&amp;C954&amp;"_"&amp;G954</f>
        <v>retiro_4_140_Tabebuia cassinoides</v>
      </c>
      <c r="J954" s="6" t="n">
        <f aca="false">IF(COUNTIF($I$2:I954,I954)=1,1,0)</f>
        <v>1</v>
      </c>
      <c r="K954" s="6" t="n">
        <f aca="false">E954*$Q$2</f>
        <v>19</v>
      </c>
      <c r="L954" s="7" t="n">
        <f aca="false">K954/PI()</f>
        <v>6.04788783749202</v>
      </c>
      <c r="M954" s="8" t="n">
        <f aca="false">PI()*L954^2/40000</f>
        <v>0.00287274672280871</v>
      </c>
      <c r="N954" s="7" t="n">
        <f aca="false">F954*$Q$3</f>
        <v>6</v>
      </c>
      <c r="O954" s="3"/>
      <c r="P954" s="3"/>
      <c r="Q954" s="3"/>
    </row>
    <row r="955" customFormat="false" ht="15" hidden="false" customHeight="false" outlineLevel="0" collapsed="false">
      <c r="A955" s="2" t="s">
        <v>70</v>
      </c>
      <c r="B955" s="2" t="n">
        <v>4</v>
      </c>
      <c r="C955" s="2" t="n">
        <v>141</v>
      </c>
      <c r="D955" s="2" t="n">
        <v>1</v>
      </c>
      <c r="E955" s="2" t="n">
        <v>160</v>
      </c>
      <c r="F955" s="2" t="n">
        <v>60</v>
      </c>
      <c r="G955" s="2" t="s">
        <v>37</v>
      </c>
      <c r="H955" s="6" t="str">
        <f aca="false">A955&amp;"_"&amp;B955</f>
        <v>retiro_4</v>
      </c>
      <c r="I955" s="6" t="str">
        <f aca="false">H955&amp;"_"&amp;C955&amp;"_"&amp;G955</f>
        <v>retiro_4_141_Tabebuia cassinoides</v>
      </c>
      <c r="J955" s="6" t="n">
        <f aca="false">IF(COUNTIF($I$2:I955,I955)=1,1,0)</f>
        <v>1</v>
      </c>
      <c r="K955" s="6" t="n">
        <f aca="false">E955*$Q$2</f>
        <v>16</v>
      </c>
      <c r="L955" s="7" t="n">
        <f aca="false">K955/PI()</f>
        <v>5.09295817894065</v>
      </c>
      <c r="M955" s="8" t="n">
        <f aca="false">PI()*L955^2/40000</f>
        <v>0.00203718327157626</v>
      </c>
      <c r="N955" s="7" t="n">
        <f aca="false">F955*$Q$3</f>
        <v>6</v>
      </c>
      <c r="O955" s="3"/>
      <c r="P955" s="3"/>
      <c r="Q955" s="3"/>
    </row>
    <row r="956" customFormat="false" ht="15" hidden="false" customHeight="false" outlineLevel="0" collapsed="false">
      <c r="A956" s="2" t="s">
        <v>70</v>
      </c>
      <c r="B956" s="2" t="n">
        <v>4</v>
      </c>
      <c r="C956" s="2" t="n">
        <v>142</v>
      </c>
      <c r="D956" s="2" t="n">
        <v>1</v>
      </c>
      <c r="E956" s="2" t="n">
        <v>180</v>
      </c>
      <c r="F956" s="2" t="n">
        <v>50</v>
      </c>
      <c r="G956" s="2" t="s">
        <v>37</v>
      </c>
      <c r="H956" s="6" t="str">
        <f aca="false">A956&amp;"_"&amp;B956</f>
        <v>retiro_4</v>
      </c>
      <c r="I956" s="6" t="str">
        <f aca="false">H956&amp;"_"&amp;C956&amp;"_"&amp;G956</f>
        <v>retiro_4_142_Tabebuia cassinoides</v>
      </c>
      <c r="J956" s="6" t="n">
        <f aca="false">IF(COUNTIF($I$2:I956,I956)=1,1,0)</f>
        <v>1</v>
      </c>
      <c r="K956" s="6" t="n">
        <f aca="false">E956*$Q$2</f>
        <v>18</v>
      </c>
      <c r="L956" s="7" t="n">
        <f aca="false">K956/PI()</f>
        <v>5.72957795130823</v>
      </c>
      <c r="M956" s="8" t="n">
        <f aca="false">PI()*L956^2/40000</f>
        <v>0.0025783100780887</v>
      </c>
      <c r="N956" s="7" t="n">
        <f aca="false">F956*$Q$3</f>
        <v>5</v>
      </c>
      <c r="O956" s="3"/>
      <c r="P956" s="3"/>
      <c r="Q956" s="3"/>
    </row>
    <row r="957" customFormat="false" ht="15" hidden="false" customHeight="false" outlineLevel="0" collapsed="false">
      <c r="A957" s="2" t="s">
        <v>70</v>
      </c>
      <c r="B957" s="2" t="n">
        <v>4</v>
      </c>
      <c r="C957" s="2" t="n">
        <v>143</v>
      </c>
      <c r="D957" s="2" t="n">
        <v>1</v>
      </c>
      <c r="E957" s="2" t="n">
        <v>170</v>
      </c>
      <c r="F957" s="2" t="n">
        <v>40</v>
      </c>
      <c r="G957" s="2" t="s">
        <v>71</v>
      </c>
      <c r="H957" s="6" t="str">
        <f aca="false">A957&amp;"_"&amp;B957</f>
        <v>retiro_4</v>
      </c>
      <c r="I957" s="6" t="str">
        <f aca="false">H957&amp;"_"&amp;C957&amp;"_"&amp;G957</f>
        <v>retiro_4_143_Mela 1</v>
      </c>
      <c r="J957" s="6" t="n">
        <f aca="false">IF(COUNTIF($I$2:I957,I957)=1,1,0)</f>
        <v>1</v>
      </c>
      <c r="K957" s="6" t="n">
        <f aca="false">E957*$Q$2</f>
        <v>17</v>
      </c>
      <c r="L957" s="7" t="n">
        <f aca="false">K957/PI()</f>
        <v>5.41126806512444</v>
      </c>
      <c r="M957" s="8" t="n">
        <f aca="false">PI()*L957^2/40000</f>
        <v>0.00229978892767789</v>
      </c>
      <c r="N957" s="7" t="n">
        <f aca="false">F957*$Q$3</f>
        <v>4</v>
      </c>
      <c r="O957" s="3"/>
      <c r="P957" s="3"/>
      <c r="Q957" s="3"/>
    </row>
    <row r="958" customFormat="false" ht="15" hidden="false" customHeight="false" outlineLevel="0" collapsed="false">
      <c r="A958" s="2" t="s">
        <v>70</v>
      </c>
      <c r="B958" s="2" t="n">
        <v>4</v>
      </c>
      <c r="C958" s="2" t="n">
        <v>144</v>
      </c>
      <c r="D958" s="2" t="n">
        <v>1</v>
      </c>
      <c r="E958" s="2" t="n">
        <v>240</v>
      </c>
      <c r="F958" s="2" t="n">
        <v>60</v>
      </c>
      <c r="G958" s="2" t="s">
        <v>37</v>
      </c>
      <c r="H958" s="6" t="str">
        <f aca="false">A958&amp;"_"&amp;B958</f>
        <v>retiro_4</v>
      </c>
      <c r="I958" s="6" t="str">
        <f aca="false">H958&amp;"_"&amp;C958&amp;"_"&amp;G958</f>
        <v>retiro_4_144_Tabebuia cassinoides</v>
      </c>
      <c r="J958" s="6" t="n">
        <f aca="false">IF(COUNTIF($I$2:I958,I958)=1,1,0)</f>
        <v>1</v>
      </c>
      <c r="K958" s="6" t="n">
        <f aca="false">E958*$Q$2</f>
        <v>24</v>
      </c>
      <c r="L958" s="7" t="n">
        <f aca="false">K958/PI()</f>
        <v>7.63943726841098</v>
      </c>
      <c r="M958" s="8" t="n">
        <f aca="false">PI()*L958^2/40000</f>
        <v>0.00458366236104659</v>
      </c>
      <c r="N958" s="7" t="n">
        <f aca="false">F958*$Q$3</f>
        <v>6</v>
      </c>
      <c r="O958" s="3"/>
      <c r="P958" s="3"/>
      <c r="Q958" s="3"/>
    </row>
    <row r="959" customFormat="false" ht="15" hidden="false" customHeight="false" outlineLevel="0" collapsed="false">
      <c r="A959" s="2" t="s">
        <v>70</v>
      </c>
      <c r="B959" s="2" t="n">
        <v>4</v>
      </c>
      <c r="C959" s="2" t="n">
        <v>145</v>
      </c>
      <c r="D959" s="2" t="n">
        <v>1</v>
      </c>
      <c r="E959" s="2" t="n">
        <v>150</v>
      </c>
      <c r="F959" s="2" t="n">
        <v>30</v>
      </c>
      <c r="G959" s="2" t="s">
        <v>37</v>
      </c>
      <c r="H959" s="6" t="str">
        <f aca="false">A959&amp;"_"&amp;B959</f>
        <v>retiro_4</v>
      </c>
      <c r="I959" s="6" t="str">
        <f aca="false">H959&amp;"_"&amp;C959&amp;"_"&amp;G959</f>
        <v>retiro_4_145_Tabebuia cassinoides</v>
      </c>
      <c r="J959" s="6" t="n">
        <f aca="false">IF(COUNTIF($I$2:I959,I959)=1,1,0)</f>
        <v>1</v>
      </c>
      <c r="K959" s="6" t="n">
        <f aca="false">E959*$Q$2</f>
        <v>15</v>
      </c>
      <c r="L959" s="7" t="n">
        <f aca="false">K959/PI()</f>
        <v>4.77464829275686</v>
      </c>
      <c r="M959" s="8" t="n">
        <f aca="false">PI()*L959^2/40000</f>
        <v>0.00179049310978382</v>
      </c>
      <c r="N959" s="7" t="n">
        <f aca="false">F959*$Q$3</f>
        <v>3</v>
      </c>
      <c r="O959" s="3"/>
      <c r="P959" s="3"/>
      <c r="Q959" s="3"/>
    </row>
    <row r="960" customFormat="false" ht="15" hidden="false" customHeight="false" outlineLevel="0" collapsed="false">
      <c r="A960" s="2" t="s">
        <v>70</v>
      </c>
      <c r="B960" s="2" t="n">
        <v>4</v>
      </c>
      <c r="C960" s="2" t="n">
        <v>146</v>
      </c>
      <c r="D960" s="2" t="n">
        <v>1</v>
      </c>
      <c r="E960" s="2" t="n">
        <v>230</v>
      </c>
      <c r="F960" s="2" t="n">
        <v>50</v>
      </c>
      <c r="G960" s="2" t="s">
        <v>37</v>
      </c>
      <c r="H960" s="6" t="str">
        <f aca="false">A960&amp;"_"&amp;B960</f>
        <v>retiro_4</v>
      </c>
      <c r="I960" s="6" t="str">
        <f aca="false">H960&amp;"_"&amp;C960&amp;"_"&amp;G960</f>
        <v>retiro_4_146_Tabebuia cassinoides</v>
      </c>
      <c r="J960" s="6" t="n">
        <f aca="false">IF(COUNTIF($I$2:I960,I960)=1,1,0)</f>
        <v>1</v>
      </c>
      <c r="K960" s="6" t="n">
        <f aca="false">E960*$Q$2</f>
        <v>23</v>
      </c>
      <c r="L960" s="7" t="n">
        <f aca="false">K960/PI()</f>
        <v>7.32112738222719</v>
      </c>
      <c r="M960" s="8" t="n">
        <f aca="false">PI()*L960^2/40000</f>
        <v>0.00420964824478063</v>
      </c>
      <c r="N960" s="7" t="n">
        <f aca="false">F960*$Q$3</f>
        <v>5</v>
      </c>
      <c r="O960" s="3"/>
      <c r="P960" s="3"/>
      <c r="Q960" s="3"/>
    </row>
    <row r="961" customFormat="false" ht="15" hidden="false" customHeight="false" outlineLevel="0" collapsed="false">
      <c r="A961" s="2" t="s">
        <v>70</v>
      </c>
      <c r="B961" s="2" t="n">
        <v>4</v>
      </c>
      <c r="C961" s="2" t="n">
        <v>147</v>
      </c>
      <c r="D961" s="2" t="n">
        <v>1</v>
      </c>
      <c r="E961" s="2" t="n">
        <v>210</v>
      </c>
      <c r="F961" s="2" t="n">
        <v>50</v>
      </c>
      <c r="G961" s="2" t="s">
        <v>37</v>
      </c>
      <c r="H961" s="6" t="str">
        <f aca="false">A961&amp;"_"&amp;B961</f>
        <v>retiro_4</v>
      </c>
      <c r="I961" s="6" t="str">
        <f aca="false">H961&amp;"_"&amp;C961&amp;"_"&amp;G961</f>
        <v>retiro_4_147_Tabebuia cassinoides</v>
      </c>
      <c r="J961" s="6" t="n">
        <f aca="false">IF(COUNTIF($I$2:I961,I961)=1,1,0)</f>
        <v>1</v>
      </c>
      <c r="K961" s="6" t="n">
        <f aca="false">E961*$Q$2</f>
        <v>21</v>
      </c>
      <c r="L961" s="7" t="n">
        <f aca="false">K961/PI()</f>
        <v>6.68450760985961</v>
      </c>
      <c r="M961" s="8" t="n">
        <f aca="false">PI()*L961^2/40000</f>
        <v>0.00350936649517629</v>
      </c>
      <c r="N961" s="7" t="n">
        <f aca="false">F961*$Q$3</f>
        <v>5</v>
      </c>
      <c r="O961" s="3"/>
      <c r="P961" s="3"/>
      <c r="Q961" s="3"/>
    </row>
    <row r="962" customFormat="false" ht="15" hidden="false" customHeight="false" outlineLevel="0" collapsed="false">
      <c r="A962" s="2" t="s">
        <v>70</v>
      </c>
      <c r="B962" s="2" t="n">
        <v>4</v>
      </c>
      <c r="C962" s="2" t="n">
        <v>148</v>
      </c>
      <c r="D962" s="2" t="n">
        <v>1</v>
      </c>
      <c r="E962" s="2" t="n">
        <v>160</v>
      </c>
      <c r="F962" s="2" t="n">
        <v>50</v>
      </c>
      <c r="G962" s="2" t="s">
        <v>37</v>
      </c>
      <c r="H962" s="6" t="str">
        <f aca="false">A962&amp;"_"&amp;B962</f>
        <v>retiro_4</v>
      </c>
      <c r="I962" s="6" t="str">
        <f aca="false">H962&amp;"_"&amp;C962&amp;"_"&amp;G962</f>
        <v>retiro_4_148_Tabebuia cassinoides</v>
      </c>
      <c r="J962" s="6" t="n">
        <f aca="false">IF(COUNTIF($I$2:I962,I962)=1,1,0)</f>
        <v>1</v>
      </c>
      <c r="K962" s="6" t="n">
        <f aca="false">E962*$Q$2</f>
        <v>16</v>
      </c>
      <c r="L962" s="7" t="n">
        <f aca="false">K962/PI()</f>
        <v>5.09295817894065</v>
      </c>
      <c r="M962" s="8" t="n">
        <f aca="false">PI()*L962^2/40000</f>
        <v>0.00203718327157626</v>
      </c>
      <c r="N962" s="7" t="n">
        <f aca="false">F962*$Q$3</f>
        <v>5</v>
      </c>
      <c r="O962" s="3"/>
      <c r="P962" s="3"/>
      <c r="Q962" s="3"/>
    </row>
    <row r="963" customFormat="false" ht="15" hidden="false" customHeight="false" outlineLevel="0" collapsed="false">
      <c r="A963" s="2" t="s">
        <v>70</v>
      </c>
      <c r="B963" s="2" t="n">
        <v>4</v>
      </c>
      <c r="C963" s="2" t="n">
        <v>148</v>
      </c>
      <c r="D963" s="2" t="n">
        <v>2</v>
      </c>
      <c r="E963" s="2" t="n">
        <v>120</v>
      </c>
      <c r="F963" s="2" t="n">
        <v>50</v>
      </c>
      <c r="G963" s="2" t="s">
        <v>37</v>
      </c>
      <c r="H963" s="6" t="str">
        <f aca="false">A963&amp;"_"&amp;B963</f>
        <v>retiro_4</v>
      </c>
      <c r="I963" s="6" t="str">
        <f aca="false">H963&amp;"_"&amp;C963&amp;"_"&amp;G963</f>
        <v>retiro_4_148_Tabebuia cassinoides</v>
      </c>
      <c r="J963" s="6" t="n">
        <f aca="false">IF(COUNTIF($I$2:I963,I963)=1,1,0)</f>
        <v>0</v>
      </c>
      <c r="K963" s="6" t="n">
        <f aca="false">E963*$Q$2</f>
        <v>12</v>
      </c>
      <c r="L963" s="7" t="n">
        <f aca="false">K963/PI()</f>
        <v>3.81971863420549</v>
      </c>
      <c r="M963" s="8" t="n">
        <f aca="false">PI()*L963^2/40000</f>
        <v>0.00114591559026165</v>
      </c>
      <c r="N963" s="7" t="n">
        <f aca="false">F963*$Q$3</f>
        <v>5</v>
      </c>
      <c r="O963" s="3"/>
      <c r="P963" s="3"/>
      <c r="Q963" s="3"/>
    </row>
    <row r="964" customFormat="false" ht="15" hidden="false" customHeight="false" outlineLevel="0" collapsed="false">
      <c r="A964" s="2" t="s">
        <v>70</v>
      </c>
      <c r="B964" s="2" t="n">
        <v>4</v>
      </c>
      <c r="C964" s="2" t="n">
        <v>149</v>
      </c>
      <c r="D964" s="2" t="n">
        <v>1</v>
      </c>
      <c r="E964" s="2" t="n">
        <v>290</v>
      </c>
      <c r="F964" s="2" t="n">
        <v>80</v>
      </c>
      <c r="G964" s="2" t="s">
        <v>37</v>
      </c>
      <c r="H964" s="6" t="str">
        <f aca="false">A964&amp;"_"&amp;B964</f>
        <v>retiro_4</v>
      </c>
      <c r="I964" s="6" t="str">
        <f aca="false">H964&amp;"_"&amp;C964&amp;"_"&amp;G964</f>
        <v>retiro_4_149_Tabebuia cassinoides</v>
      </c>
      <c r="J964" s="6" t="n">
        <f aca="false">IF(COUNTIF($I$2:I964,I964)=1,1,0)</f>
        <v>1</v>
      </c>
      <c r="K964" s="6" t="n">
        <f aca="false">E964*$Q$2</f>
        <v>29</v>
      </c>
      <c r="L964" s="7" t="n">
        <f aca="false">K964/PI()</f>
        <v>9.23098669932993</v>
      </c>
      <c r="M964" s="8" t="n">
        <f aca="false">PI()*L964^2/40000</f>
        <v>0.0066924653570142</v>
      </c>
      <c r="N964" s="7" t="n">
        <f aca="false">F964*$Q$3</f>
        <v>8</v>
      </c>
      <c r="O964" s="3"/>
      <c r="P964" s="3"/>
      <c r="Q964" s="3"/>
    </row>
    <row r="965" customFormat="false" ht="15" hidden="false" customHeight="false" outlineLevel="0" collapsed="false">
      <c r="A965" s="2" t="s">
        <v>70</v>
      </c>
      <c r="B965" s="2" t="n">
        <v>4</v>
      </c>
      <c r="C965" s="2" t="n">
        <v>150</v>
      </c>
      <c r="D965" s="2" t="n">
        <v>1</v>
      </c>
      <c r="E965" s="2" t="n">
        <v>150</v>
      </c>
      <c r="F965" s="2" t="n">
        <v>30</v>
      </c>
      <c r="G965" s="2" t="s">
        <v>71</v>
      </c>
      <c r="H965" s="6" t="str">
        <f aca="false">A965&amp;"_"&amp;B965</f>
        <v>retiro_4</v>
      </c>
      <c r="I965" s="6" t="str">
        <f aca="false">H965&amp;"_"&amp;C965&amp;"_"&amp;G965</f>
        <v>retiro_4_150_Mela 1</v>
      </c>
      <c r="J965" s="6" t="n">
        <f aca="false">IF(COUNTIF($I$2:I965,I965)=1,1,0)</f>
        <v>1</v>
      </c>
      <c r="K965" s="6" t="n">
        <f aca="false">E965*$Q$2</f>
        <v>15</v>
      </c>
      <c r="L965" s="7" t="n">
        <f aca="false">K965/PI()</f>
        <v>4.77464829275686</v>
      </c>
      <c r="M965" s="8" t="n">
        <f aca="false">PI()*L965^2/40000</f>
        <v>0.00179049310978382</v>
      </c>
      <c r="N965" s="7" t="n">
        <f aca="false">F965*$Q$3</f>
        <v>3</v>
      </c>
      <c r="O965" s="3"/>
      <c r="P965" s="3"/>
      <c r="Q965" s="3"/>
    </row>
    <row r="966" customFormat="false" ht="15" hidden="false" customHeight="false" outlineLevel="0" collapsed="false">
      <c r="A966" s="2" t="s">
        <v>70</v>
      </c>
      <c r="B966" s="2" t="n">
        <v>4</v>
      </c>
      <c r="C966" s="2" t="n">
        <v>151</v>
      </c>
      <c r="D966" s="2" t="n">
        <v>1</v>
      </c>
      <c r="E966" s="2" t="n">
        <v>220</v>
      </c>
      <c r="F966" s="2" t="n">
        <v>60</v>
      </c>
      <c r="G966" s="2" t="s">
        <v>37</v>
      </c>
      <c r="H966" s="6" t="str">
        <f aca="false">A966&amp;"_"&amp;B966</f>
        <v>retiro_4</v>
      </c>
      <c r="I966" s="6" t="str">
        <f aca="false">H966&amp;"_"&amp;C966&amp;"_"&amp;G966</f>
        <v>retiro_4_151_Tabebuia cassinoides</v>
      </c>
      <c r="J966" s="6" t="n">
        <f aca="false">IF(COUNTIF($I$2:I966,I966)=1,1,0)</f>
        <v>1</v>
      </c>
      <c r="K966" s="6" t="n">
        <f aca="false">E966*$Q$2</f>
        <v>22</v>
      </c>
      <c r="L966" s="7" t="n">
        <f aca="false">K966/PI()</f>
        <v>7.0028174960434</v>
      </c>
      <c r="M966" s="8" t="n">
        <f aca="false">PI()*L966^2/40000</f>
        <v>0.00385154962282387</v>
      </c>
      <c r="N966" s="7" t="n">
        <f aca="false">F966*$Q$3</f>
        <v>6</v>
      </c>
      <c r="O966" s="3"/>
      <c r="P966" s="3"/>
      <c r="Q966" s="3"/>
    </row>
    <row r="967" customFormat="false" ht="15" hidden="false" customHeight="false" outlineLevel="0" collapsed="false">
      <c r="A967" s="2" t="s">
        <v>70</v>
      </c>
      <c r="B967" s="2" t="n">
        <v>4</v>
      </c>
      <c r="C967" s="2" t="n">
        <v>152</v>
      </c>
      <c r="D967" s="2" t="n">
        <v>1</v>
      </c>
      <c r="E967" s="2" t="n">
        <v>250</v>
      </c>
      <c r="F967" s="2" t="n">
        <v>10</v>
      </c>
      <c r="G967" s="2" t="s">
        <v>71</v>
      </c>
      <c r="H967" s="6" t="str">
        <f aca="false">A967&amp;"_"&amp;B967</f>
        <v>retiro_4</v>
      </c>
      <c r="I967" s="6" t="str">
        <f aca="false">H967&amp;"_"&amp;C967&amp;"_"&amp;G967</f>
        <v>retiro_4_152_Mela 1</v>
      </c>
      <c r="J967" s="6" t="n">
        <f aca="false">IF(COUNTIF($I$2:I967,I967)=1,1,0)</f>
        <v>1</v>
      </c>
      <c r="K967" s="6" t="n">
        <f aca="false">E967*$Q$2</f>
        <v>25</v>
      </c>
      <c r="L967" s="7" t="n">
        <f aca="false">K967/PI()</f>
        <v>7.95774715459477</v>
      </c>
      <c r="M967" s="8" t="n">
        <f aca="false">PI()*L967^2/40000</f>
        <v>0.00497359197162173</v>
      </c>
      <c r="N967" s="7" t="n">
        <f aca="false">F967*$Q$3</f>
        <v>1</v>
      </c>
      <c r="O967" s="3"/>
      <c r="P967" s="3"/>
      <c r="Q967" s="3"/>
    </row>
    <row r="968" customFormat="false" ht="15" hidden="false" customHeight="false" outlineLevel="0" collapsed="false">
      <c r="A968" s="2" t="s">
        <v>70</v>
      </c>
      <c r="B968" s="2" t="n">
        <v>4</v>
      </c>
      <c r="C968" s="2" t="n">
        <v>153</v>
      </c>
      <c r="D968" s="2" t="n">
        <v>1</v>
      </c>
      <c r="E968" s="2" t="n">
        <v>160</v>
      </c>
      <c r="F968" s="2" t="n">
        <v>60</v>
      </c>
      <c r="G968" s="2" t="s">
        <v>37</v>
      </c>
      <c r="H968" s="6" t="str">
        <f aca="false">A968&amp;"_"&amp;B968</f>
        <v>retiro_4</v>
      </c>
      <c r="I968" s="6" t="str">
        <f aca="false">H968&amp;"_"&amp;C968&amp;"_"&amp;G968</f>
        <v>retiro_4_153_Tabebuia cassinoides</v>
      </c>
      <c r="J968" s="6" t="n">
        <f aca="false">IF(COUNTIF($I$2:I968,I968)=1,1,0)</f>
        <v>1</v>
      </c>
      <c r="K968" s="6" t="n">
        <f aca="false">E968*$Q$2</f>
        <v>16</v>
      </c>
      <c r="L968" s="7" t="n">
        <f aca="false">K968/PI()</f>
        <v>5.09295817894065</v>
      </c>
      <c r="M968" s="8" t="n">
        <f aca="false">PI()*L968^2/40000</f>
        <v>0.00203718327157626</v>
      </c>
      <c r="N968" s="7" t="n">
        <f aca="false">F968*$Q$3</f>
        <v>6</v>
      </c>
      <c r="O968" s="3"/>
      <c r="P968" s="3"/>
      <c r="Q968" s="3"/>
    </row>
    <row r="969" customFormat="false" ht="15" hidden="false" customHeight="false" outlineLevel="0" collapsed="false">
      <c r="A969" s="2" t="s">
        <v>70</v>
      </c>
      <c r="B969" s="2" t="n">
        <v>4</v>
      </c>
      <c r="C969" s="2" t="n">
        <v>154</v>
      </c>
      <c r="D969" s="2" t="n">
        <v>1</v>
      </c>
      <c r="E969" s="2" t="n">
        <v>270</v>
      </c>
      <c r="F969" s="2" t="n">
        <v>80</v>
      </c>
      <c r="G969" s="2" t="s">
        <v>37</v>
      </c>
      <c r="H969" s="6" t="str">
        <f aca="false">A969&amp;"_"&amp;B969</f>
        <v>retiro_4</v>
      </c>
      <c r="I969" s="6" t="str">
        <f aca="false">H969&amp;"_"&amp;C969&amp;"_"&amp;G969</f>
        <v>retiro_4_154_Tabebuia cassinoides</v>
      </c>
      <c r="J969" s="6" t="n">
        <f aca="false">IF(COUNTIF($I$2:I969,I969)=1,1,0)</f>
        <v>1</v>
      </c>
      <c r="K969" s="6" t="n">
        <f aca="false">E969*$Q$2</f>
        <v>27</v>
      </c>
      <c r="L969" s="7" t="n">
        <f aca="false">K969/PI()</f>
        <v>8.59436692696235</v>
      </c>
      <c r="M969" s="8" t="n">
        <f aca="false">PI()*L969^2/40000</f>
        <v>0.00580119767569958</v>
      </c>
      <c r="N969" s="7" t="n">
        <f aca="false">F969*$Q$3</f>
        <v>8</v>
      </c>
      <c r="O969" s="3"/>
      <c r="P969" s="3"/>
      <c r="Q969" s="3"/>
    </row>
    <row r="970" customFormat="false" ht="15" hidden="false" customHeight="false" outlineLevel="0" collapsed="false">
      <c r="A970" s="2" t="s">
        <v>70</v>
      </c>
      <c r="B970" s="2" t="n">
        <v>4</v>
      </c>
      <c r="C970" s="2" t="n">
        <v>155</v>
      </c>
      <c r="D970" s="2" t="n">
        <v>1</v>
      </c>
      <c r="E970" s="2" t="n">
        <v>190</v>
      </c>
      <c r="F970" s="2" t="n">
        <v>30</v>
      </c>
      <c r="G970" s="2" t="s">
        <v>37</v>
      </c>
      <c r="H970" s="6" t="str">
        <f aca="false">A970&amp;"_"&amp;B970</f>
        <v>retiro_4</v>
      </c>
      <c r="I970" s="6" t="str">
        <f aca="false">H970&amp;"_"&amp;C970&amp;"_"&amp;G970</f>
        <v>retiro_4_155_Tabebuia cassinoides</v>
      </c>
      <c r="J970" s="6" t="n">
        <f aca="false">IF(COUNTIF($I$2:I970,I970)=1,1,0)</f>
        <v>1</v>
      </c>
      <c r="K970" s="6" t="n">
        <f aca="false">E970*$Q$2</f>
        <v>19</v>
      </c>
      <c r="L970" s="7" t="n">
        <f aca="false">K970/PI()</f>
        <v>6.04788783749202</v>
      </c>
      <c r="M970" s="8" t="n">
        <f aca="false">PI()*L970^2/40000</f>
        <v>0.00287274672280871</v>
      </c>
      <c r="N970" s="7" t="n">
        <f aca="false">F970*$Q$3</f>
        <v>3</v>
      </c>
      <c r="O970" s="3"/>
      <c r="P970" s="3"/>
      <c r="Q970" s="3"/>
    </row>
    <row r="971" customFormat="false" ht="15" hidden="false" customHeight="false" outlineLevel="0" collapsed="false">
      <c r="A971" s="2" t="s">
        <v>70</v>
      </c>
      <c r="B971" s="2" t="n">
        <v>4</v>
      </c>
      <c r="C971" s="2" t="n">
        <v>155</v>
      </c>
      <c r="D971" s="2" t="n">
        <v>2</v>
      </c>
      <c r="E971" s="2" t="n">
        <v>180</v>
      </c>
      <c r="F971" s="2" t="n">
        <v>30</v>
      </c>
      <c r="G971" s="2" t="s">
        <v>37</v>
      </c>
      <c r="H971" s="6" t="str">
        <f aca="false">A971&amp;"_"&amp;B971</f>
        <v>retiro_4</v>
      </c>
      <c r="I971" s="6" t="str">
        <f aca="false">H971&amp;"_"&amp;C971&amp;"_"&amp;G971</f>
        <v>retiro_4_155_Tabebuia cassinoides</v>
      </c>
      <c r="J971" s="6" t="n">
        <f aca="false">IF(COUNTIF($I$2:I971,I971)=1,1,0)</f>
        <v>0</v>
      </c>
      <c r="K971" s="6" t="n">
        <f aca="false">E971*$Q$2</f>
        <v>18</v>
      </c>
      <c r="L971" s="7" t="n">
        <f aca="false">K971/PI()</f>
        <v>5.72957795130823</v>
      </c>
      <c r="M971" s="8" t="n">
        <f aca="false">PI()*L971^2/40000</f>
        <v>0.0025783100780887</v>
      </c>
      <c r="N971" s="7" t="n">
        <f aca="false">F971*$Q$3</f>
        <v>3</v>
      </c>
      <c r="O971" s="3"/>
      <c r="P971" s="3"/>
      <c r="Q971" s="3"/>
    </row>
    <row r="972" customFormat="false" ht="15" hidden="false" customHeight="false" outlineLevel="0" collapsed="false">
      <c r="A972" s="2" t="s">
        <v>70</v>
      </c>
      <c r="B972" s="2" t="n">
        <v>4</v>
      </c>
      <c r="C972" s="2" t="n">
        <v>156</v>
      </c>
      <c r="D972" s="2" t="n">
        <v>1</v>
      </c>
      <c r="E972" s="2" t="n">
        <v>210</v>
      </c>
      <c r="F972" s="2" t="n">
        <v>5</v>
      </c>
      <c r="G972" s="2" t="s">
        <v>71</v>
      </c>
      <c r="H972" s="6" t="str">
        <f aca="false">A972&amp;"_"&amp;B972</f>
        <v>retiro_4</v>
      </c>
      <c r="I972" s="6" t="str">
        <f aca="false">H972&amp;"_"&amp;C972&amp;"_"&amp;G972</f>
        <v>retiro_4_156_Mela 1</v>
      </c>
      <c r="J972" s="6" t="n">
        <f aca="false">IF(COUNTIF($I$2:I972,I972)=1,1,0)</f>
        <v>1</v>
      </c>
      <c r="K972" s="6" t="n">
        <f aca="false">E972*$Q$2</f>
        <v>21</v>
      </c>
      <c r="L972" s="7" t="n">
        <f aca="false">K972/PI()</f>
        <v>6.68450760985961</v>
      </c>
      <c r="M972" s="8" t="n">
        <f aca="false">PI()*L972^2/40000</f>
        <v>0.00350936649517629</v>
      </c>
      <c r="N972" s="7" t="n">
        <f aca="false">F972*$Q$3</f>
        <v>0.5</v>
      </c>
      <c r="O972" s="3"/>
      <c r="P972" s="3"/>
      <c r="Q972" s="3"/>
    </row>
    <row r="973" customFormat="false" ht="15" hidden="false" customHeight="false" outlineLevel="0" collapsed="false">
      <c r="A973" s="2" t="s">
        <v>70</v>
      </c>
      <c r="B973" s="2" t="n">
        <v>4</v>
      </c>
      <c r="C973" s="2" t="n">
        <v>157</v>
      </c>
      <c r="D973" s="2" t="n">
        <v>1</v>
      </c>
      <c r="E973" s="2" t="n">
        <v>170</v>
      </c>
      <c r="F973" s="2" t="n">
        <v>50</v>
      </c>
      <c r="G973" s="2" t="s">
        <v>37</v>
      </c>
      <c r="H973" s="6" t="str">
        <f aca="false">A973&amp;"_"&amp;B973</f>
        <v>retiro_4</v>
      </c>
      <c r="I973" s="6" t="str">
        <f aca="false">H973&amp;"_"&amp;C973&amp;"_"&amp;G973</f>
        <v>retiro_4_157_Tabebuia cassinoides</v>
      </c>
      <c r="J973" s="6" t="n">
        <f aca="false">IF(COUNTIF($I$2:I973,I973)=1,1,0)</f>
        <v>1</v>
      </c>
      <c r="K973" s="6" t="n">
        <f aca="false">E973*$Q$2</f>
        <v>17</v>
      </c>
      <c r="L973" s="7" t="n">
        <f aca="false">K973/PI()</f>
        <v>5.41126806512444</v>
      </c>
      <c r="M973" s="8" t="n">
        <f aca="false">PI()*L973^2/40000</f>
        <v>0.00229978892767789</v>
      </c>
      <c r="N973" s="7" t="n">
        <f aca="false">F973*$Q$3</f>
        <v>5</v>
      </c>
      <c r="O973" s="3"/>
      <c r="P973" s="3"/>
      <c r="Q973" s="3"/>
    </row>
    <row r="974" customFormat="false" ht="15" hidden="false" customHeight="false" outlineLevel="0" collapsed="false">
      <c r="A974" s="2" t="s">
        <v>70</v>
      </c>
      <c r="B974" s="2" t="n">
        <v>4</v>
      </c>
      <c r="C974" s="2" t="n">
        <v>158</v>
      </c>
      <c r="D974" s="2" t="n">
        <v>1</v>
      </c>
      <c r="E974" s="2" t="n">
        <v>200</v>
      </c>
      <c r="F974" s="2" t="n">
        <v>60</v>
      </c>
      <c r="G974" s="2" t="s">
        <v>37</v>
      </c>
      <c r="H974" s="6" t="str">
        <f aca="false">A974&amp;"_"&amp;B974</f>
        <v>retiro_4</v>
      </c>
      <c r="I974" s="6" t="str">
        <f aca="false">H974&amp;"_"&amp;C974&amp;"_"&amp;G974</f>
        <v>retiro_4_158_Tabebuia cassinoides</v>
      </c>
      <c r="J974" s="6" t="n">
        <f aca="false">IF(COUNTIF($I$2:I974,I974)=1,1,0)</f>
        <v>1</v>
      </c>
      <c r="K974" s="6" t="n">
        <f aca="false">E974*$Q$2</f>
        <v>20</v>
      </c>
      <c r="L974" s="7" t="n">
        <f aca="false">K974/PI()</f>
        <v>6.36619772367581</v>
      </c>
      <c r="M974" s="8" t="n">
        <f aca="false">PI()*L974^2/40000</f>
        <v>0.00318309886183791</v>
      </c>
      <c r="N974" s="7" t="n">
        <f aca="false">F974*$Q$3</f>
        <v>6</v>
      </c>
      <c r="O974" s="3"/>
      <c r="P974" s="3"/>
      <c r="Q974" s="3"/>
    </row>
    <row r="975" customFormat="false" ht="15" hidden="false" customHeight="false" outlineLevel="0" collapsed="false">
      <c r="A975" s="2" t="s">
        <v>70</v>
      </c>
      <c r="B975" s="2" t="n">
        <v>4</v>
      </c>
      <c r="C975" s="2" t="n">
        <v>158</v>
      </c>
      <c r="D975" s="2" t="n">
        <v>2</v>
      </c>
      <c r="E975" s="2" t="n">
        <v>170</v>
      </c>
      <c r="F975" s="2" t="n">
        <v>60</v>
      </c>
      <c r="G975" s="2" t="s">
        <v>37</v>
      </c>
      <c r="H975" s="6" t="str">
        <f aca="false">A975&amp;"_"&amp;B975</f>
        <v>retiro_4</v>
      </c>
      <c r="I975" s="6" t="str">
        <f aca="false">H975&amp;"_"&amp;C975&amp;"_"&amp;G975</f>
        <v>retiro_4_158_Tabebuia cassinoides</v>
      </c>
      <c r="J975" s="6" t="n">
        <f aca="false">IF(COUNTIF($I$2:I975,I975)=1,1,0)</f>
        <v>0</v>
      </c>
      <c r="K975" s="6" t="n">
        <f aca="false">E975*$Q$2</f>
        <v>17</v>
      </c>
      <c r="L975" s="7" t="n">
        <f aca="false">K975/PI()</f>
        <v>5.41126806512444</v>
      </c>
      <c r="M975" s="8" t="n">
        <f aca="false">PI()*L975^2/40000</f>
        <v>0.00229978892767789</v>
      </c>
      <c r="N975" s="7" t="n">
        <f aca="false">F975*$Q$3</f>
        <v>6</v>
      </c>
      <c r="O975" s="3"/>
      <c r="P975" s="3"/>
      <c r="Q975" s="3"/>
    </row>
    <row r="976" customFormat="false" ht="15" hidden="false" customHeight="false" outlineLevel="0" collapsed="false">
      <c r="A976" s="2" t="s">
        <v>70</v>
      </c>
      <c r="B976" s="2" t="n">
        <v>4</v>
      </c>
      <c r="C976" s="2" t="n">
        <v>158</v>
      </c>
      <c r="D976" s="2" t="n">
        <v>3</v>
      </c>
      <c r="E976" s="2" t="n">
        <v>100</v>
      </c>
      <c r="F976" s="2" t="n">
        <v>60</v>
      </c>
      <c r="G976" s="2" t="s">
        <v>37</v>
      </c>
      <c r="H976" s="6" t="str">
        <f aca="false">A976&amp;"_"&amp;B976</f>
        <v>retiro_4</v>
      </c>
      <c r="I976" s="6" t="str">
        <f aca="false">H976&amp;"_"&amp;C976&amp;"_"&amp;G976</f>
        <v>retiro_4_158_Tabebuia cassinoides</v>
      </c>
      <c r="J976" s="6" t="n">
        <f aca="false">IF(COUNTIF($I$2:I976,I976)=1,1,0)</f>
        <v>0</v>
      </c>
      <c r="K976" s="6" t="n">
        <f aca="false">E976*$Q$2</f>
        <v>10</v>
      </c>
      <c r="L976" s="7" t="n">
        <f aca="false">K976/PI()</f>
        <v>3.18309886183791</v>
      </c>
      <c r="M976" s="8" t="n">
        <f aca="false">PI()*L976^2/40000</f>
        <v>0.000795774715459477</v>
      </c>
      <c r="N976" s="7" t="n">
        <f aca="false">F976*$Q$3</f>
        <v>6</v>
      </c>
      <c r="O976" s="3"/>
      <c r="P976" s="3"/>
      <c r="Q976" s="3"/>
    </row>
    <row r="977" customFormat="false" ht="15" hidden="false" customHeight="false" outlineLevel="0" collapsed="false">
      <c r="A977" s="2" t="s">
        <v>70</v>
      </c>
      <c r="B977" s="2" t="n">
        <v>4</v>
      </c>
      <c r="C977" s="2" t="n">
        <v>158</v>
      </c>
      <c r="D977" s="2" t="n">
        <v>4</v>
      </c>
      <c r="E977" s="2" t="n">
        <v>170</v>
      </c>
      <c r="F977" s="2" t="n">
        <v>60</v>
      </c>
      <c r="G977" s="2" t="s">
        <v>37</v>
      </c>
      <c r="H977" s="6" t="str">
        <f aca="false">A977&amp;"_"&amp;B977</f>
        <v>retiro_4</v>
      </c>
      <c r="I977" s="6" t="str">
        <f aca="false">H977&amp;"_"&amp;C977&amp;"_"&amp;G977</f>
        <v>retiro_4_158_Tabebuia cassinoides</v>
      </c>
      <c r="J977" s="6" t="n">
        <f aca="false">IF(COUNTIF($I$2:I977,I977)=1,1,0)</f>
        <v>0</v>
      </c>
      <c r="K977" s="6" t="n">
        <f aca="false">E977*$Q$2</f>
        <v>17</v>
      </c>
      <c r="L977" s="7" t="n">
        <f aca="false">K977/PI()</f>
        <v>5.41126806512444</v>
      </c>
      <c r="M977" s="8" t="n">
        <f aca="false">PI()*L977^2/40000</f>
        <v>0.00229978892767789</v>
      </c>
      <c r="N977" s="7" t="n">
        <f aca="false">F977*$Q$3</f>
        <v>6</v>
      </c>
      <c r="O977" s="3"/>
      <c r="P977" s="3"/>
      <c r="Q977" s="3"/>
    </row>
    <row r="978" customFormat="false" ht="15" hidden="false" customHeight="false" outlineLevel="0" collapsed="false">
      <c r="A978" s="2" t="s">
        <v>70</v>
      </c>
      <c r="B978" s="2" t="n">
        <v>4</v>
      </c>
      <c r="C978" s="2" t="n">
        <v>159</v>
      </c>
      <c r="D978" s="2" t="n">
        <v>1</v>
      </c>
      <c r="E978" s="2" t="n">
        <v>380</v>
      </c>
      <c r="F978" s="2" t="n">
        <v>100</v>
      </c>
      <c r="G978" s="2" t="s">
        <v>37</v>
      </c>
      <c r="H978" s="6" t="str">
        <f aca="false">A978&amp;"_"&amp;B978</f>
        <v>retiro_4</v>
      </c>
      <c r="I978" s="6" t="str">
        <f aca="false">H978&amp;"_"&amp;C978&amp;"_"&amp;G978</f>
        <v>retiro_4_159_Tabebuia cassinoides</v>
      </c>
      <c r="J978" s="6" t="n">
        <f aca="false">IF(COUNTIF($I$2:I978,I978)=1,1,0)</f>
        <v>1</v>
      </c>
      <c r="K978" s="6" t="n">
        <f aca="false">E978*$Q$2</f>
        <v>38</v>
      </c>
      <c r="L978" s="7" t="n">
        <f aca="false">K978/PI()</f>
        <v>12.095775674984</v>
      </c>
      <c r="M978" s="8" t="n">
        <f aca="false">PI()*L978^2/40000</f>
        <v>0.0114909868912348</v>
      </c>
      <c r="N978" s="7" t="n">
        <f aca="false">F978*$Q$3</f>
        <v>10</v>
      </c>
      <c r="O978" s="3"/>
      <c r="P978" s="3"/>
      <c r="Q978" s="3"/>
    </row>
    <row r="979" customFormat="false" ht="15" hidden="false" customHeight="false" outlineLevel="0" collapsed="false">
      <c r="A979" s="2" t="s">
        <v>70</v>
      </c>
      <c r="B979" s="2" t="n">
        <v>4</v>
      </c>
      <c r="C979" s="2" t="n">
        <v>160</v>
      </c>
      <c r="D979" s="2" t="n">
        <v>1</v>
      </c>
      <c r="E979" s="2" t="n">
        <v>270</v>
      </c>
      <c r="F979" s="2" t="n">
        <v>70</v>
      </c>
      <c r="G979" s="2" t="s">
        <v>37</v>
      </c>
      <c r="H979" s="6" t="str">
        <f aca="false">A979&amp;"_"&amp;B979</f>
        <v>retiro_4</v>
      </c>
      <c r="I979" s="6" t="str">
        <f aca="false">H979&amp;"_"&amp;C979&amp;"_"&amp;G979</f>
        <v>retiro_4_160_Tabebuia cassinoides</v>
      </c>
      <c r="J979" s="6" t="n">
        <f aca="false">IF(COUNTIF($I$2:I979,I979)=1,1,0)</f>
        <v>1</v>
      </c>
      <c r="K979" s="6" t="n">
        <f aca="false">E979*$Q$2</f>
        <v>27</v>
      </c>
      <c r="L979" s="7" t="n">
        <f aca="false">K979/PI()</f>
        <v>8.59436692696235</v>
      </c>
      <c r="M979" s="8" t="n">
        <f aca="false">PI()*L979^2/40000</f>
        <v>0.00580119767569958</v>
      </c>
      <c r="N979" s="7" t="n">
        <f aca="false">F979*$Q$3</f>
        <v>7</v>
      </c>
      <c r="O979" s="3"/>
      <c r="P979" s="3"/>
      <c r="Q979" s="3"/>
    </row>
    <row r="980" customFormat="false" ht="15" hidden="false" customHeight="false" outlineLevel="0" collapsed="false">
      <c r="A980" s="2" t="s">
        <v>70</v>
      </c>
      <c r="B980" s="2" t="n">
        <v>4</v>
      </c>
      <c r="C980" s="2" t="n">
        <v>161</v>
      </c>
      <c r="D980" s="2" t="n">
        <v>1</v>
      </c>
      <c r="E980" s="2" t="n">
        <v>150</v>
      </c>
      <c r="F980" s="2" t="n">
        <v>50</v>
      </c>
      <c r="G980" s="2" t="s">
        <v>37</v>
      </c>
      <c r="H980" s="6" t="str">
        <f aca="false">A980&amp;"_"&amp;B980</f>
        <v>retiro_4</v>
      </c>
      <c r="I980" s="6" t="str">
        <f aca="false">H980&amp;"_"&amp;C980&amp;"_"&amp;G980</f>
        <v>retiro_4_161_Tabebuia cassinoides</v>
      </c>
      <c r="J980" s="6" t="n">
        <f aca="false">IF(COUNTIF($I$2:I980,I980)=1,1,0)</f>
        <v>1</v>
      </c>
      <c r="K980" s="6" t="n">
        <f aca="false">E980*$Q$2</f>
        <v>15</v>
      </c>
      <c r="L980" s="7" t="n">
        <f aca="false">K980/PI()</f>
        <v>4.77464829275686</v>
      </c>
      <c r="M980" s="8" t="n">
        <f aca="false">PI()*L980^2/40000</f>
        <v>0.00179049310978382</v>
      </c>
      <c r="N980" s="7" t="n">
        <f aca="false">F980*$Q$3</f>
        <v>5</v>
      </c>
      <c r="O980" s="3"/>
      <c r="P980" s="3"/>
      <c r="Q980" s="3"/>
    </row>
    <row r="981" customFormat="false" ht="15" hidden="false" customHeight="false" outlineLevel="0" collapsed="false">
      <c r="A981" s="2" t="s">
        <v>70</v>
      </c>
      <c r="B981" s="2" t="n">
        <v>4</v>
      </c>
      <c r="C981" s="2" t="n">
        <v>162</v>
      </c>
      <c r="D981" s="2" t="n">
        <v>1</v>
      </c>
      <c r="E981" s="2" t="n">
        <v>260</v>
      </c>
      <c r="F981" s="2" t="n">
        <v>70</v>
      </c>
      <c r="G981" s="2" t="s">
        <v>37</v>
      </c>
      <c r="H981" s="6" t="str">
        <f aca="false">A981&amp;"_"&amp;B981</f>
        <v>retiro_4</v>
      </c>
      <c r="I981" s="6" t="str">
        <f aca="false">H981&amp;"_"&amp;C981&amp;"_"&amp;G981</f>
        <v>retiro_4_162_Tabebuia cassinoides</v>
      </c>
      <c r="J981" s="6" t="n">
        <f aca="false">IF(COUNTIF($I$2:I981,I981)=1,1,0)</f>
        <v>1</v>
      </c>
      <c r="K981" s="6" t="n">
        <f aca="false">E981*$Q$2</f>
        <v>26</v>
      </c>
      <c r="L981" s="7" t="n">
        <f aca="false">K981/PI()</f>
        <v>8.27605704077856</v>
      </c>
      <c r="M981" s="8" t="n">
        <f aca="false">PI()*L981^2/40000</f>
        <v>0.00537943707650606</v>
      </c>
      <c r="N981" s="7" t="n">
        <f aca="false">F981*$Q$3</f>
        <v>7</v>
      </c>
      <c r="O981" s="3"/>
      <c r="P981" s="3"/>
      <c r="Q981" s="3"/>
    </row>
    <row r="982" customFormat="false" ht="15" hidden="false" customHeight="false" outlineLevel="0" collapsed="false">
      <c r="A982" s="2" t="s">
        <v>70</v>
      </c>
      <c r="B982" s="2" t="n">
        <v>4</v>
      </c>
      <c r="C982" s="2" t="n">
        <v>163</v>
      </c>
      <c r="D982" s="2" t="n">
        <v>1</v>
      </c>
      <c r="E982" s="2" t="n">
        <v>380</v>
      </c>
      <c r="F982" s="2" t="n">
        <v>90</v>
      </c>
      <c r="G982" s="2" t="s">
        <v>37</v>
      </c>
      <c r="H982" s="6" t="str">
        <f aca="false">A982&amp;"_"&amp;B982</f>
        <v>retiro_4</v>
      </c>
      <c r="I982" s="6" t="str">
        <f aca="false">H982&amp;"_"&amp;C982&amp;"_"&amp;G982</f>
        <v>retiro_4_163_Tabebuia cassinoides</v>
      </c>
      <c r="J982" s="6" t="n">
        <f aca="false">IF(COUNTIF($I$2:I982,I982)=1,1,0)</f>
        <v>1</v>
      </c>
      <c r="K982" s="6" t="n">
        <f aca="false">E982*$Q$2</f>
        <v>38</v>
      </c>
      <c r="L982" s="7" t="n">
        <f aca="false">K982/PI()</f>
        <v>12.095775674984</v>
      </c>
      <c r="M982" s="8" t="n">
        <f aca="false">PI()*L982^2/40000</f>
        <v>0.0114909868912348</v>
      </c>
      <c r="N982" s="7" t="n">
        <f aca="false">F982*$Q$3</f>
        <v>9</v>
      </c>
      <c r="O982" s="3"/>
      <c r="P982" s="3"/>
      <c r="Q982" s="3"/>
    </row>
    <row r="983" customFormat="false" ht="15" hidden="false" customHeight="false" outlineLevel="0" collapsed="false">
      <c r="A983" s="2" t="s">
        <v>70</v>
      </c>
      <c r="B983" s="2" t="n">
        <v>4</v>
      </c>
      <c r="C983" s="2" t="n">
        <v>164</v>
      </c>
      <c r="D983" s="2" t="n">
        <v>1</v>
      </c>
      <c r="E983" s="2" t="n">
        <v>280</v>
      </c>
      <c r="F983" s="2" t="n">
        <v>60</v>
      </c>
      <c r="G983" s="2" t="s">
        <v>71</v>
      </c>
      <c r="H983" s="6" t="str">
        <f aca="false">A983&amp;"_"&amp;B983</f>
        <v>retiro_4</v>
      </c>
      <c r="I983" s="6" t="str">
        <f aca="false">H983&amp;"_"&amp;C983&amp;"_"&amp;G983</f>
        <v>retiro_4_164_Mela 1</v>
      </c>
      <c r="J983" s="6" t="n">
        <f aca="false">IF(COUNTIF($I$2:I983,I983)=1,1,0)</f>
        <v>1</v>
      </c>
      <c r="K983" s="6" t="n">
        <f aca="false">E983*$Q$2</f>
        <v>28</v>
      </c>
      <c r="L983" s="7" t="n">
        <f aca="false">K983/PI()</f>
        <v>8.91267681314614</v>
      </c>
      <c r="M983" s="8" t="n">
        <f aca="false">PI()*L983^2/40000</f>
        <v>0.0062388737692023</v>
      </c>
      <c r="N983" s="7" t="n">
        <f aca="false">F983*$Q$3</f>
        <v>6</v>
      </c>
      <c r="O983" s="3"/>
      <c r="P983" s="3"/>
      <c r="Q983" s="3"/>
    </row>
    <row r="984" customFormat="false" ht="15" hidden="false" customHeight="false" outlineLevel="0" collapsed="false">
      <c r="A984" s="2" t="s">
        <v>70</v>
      </c>
      <c r="B984" s="2" t="n">
        <v>4</v>
      </c>
      <c r="C984" s="2" t="n">
        <v>164</v>
      </c>
      <c r="D984" s="2" t="n">
        <v>2</v>
      </c>
      <c r="E984" s="2" t="n">
        <v>320</v>
      </c>
      <c r="F984" s="2" t="n">
        <v>60</v>
      </c>
      <c r="G984" s="2" t="s">
        <v>71</v>
      </c>
      <c r="H984" s="6" t="str">
        <f aca="false">A984&amp;"_"&amp;B984</f>
        <v>retiro_4</v>
      </c>
      <c r="I984" s="6" t="str">
        <f aca="false">H984&amp;"_"&amp;C984&amp;"_"&amp;G984</f>
        <v>retiro_4_164_Mela 1</v>
      </c>
      <c r="J984" s="6" t="n">
        <f aca="false">IF(COUNTIF($I$2:I984,I984)=1,1,0)</f>
        <v>0</v>
      </c>
      <c r="K984" s="6" t="n">
        <f aca="false">E984*$Q$2</f>
        <v>32</v>
      </c>
      <c r="L984" s="7" t="n">
        <f aca="false">K984/PI()</f>
        <v>10.1859163578813</v>
      </c>
      <c r="M984" s="8" t="n">
        <f aca="false">PI()*L984^2/40000</f>
        <v>0.00814873308630504</v>
      </c>
      <c r="N984" s="7" t="n">
        <f aca="false">F984*$Q$3</f>
        <v>6</v>
      </c>
      <c r="O984" s="3"/>
      <c r="P984" s="3"/>
      <c r="Q984" s="3"/>
    </row>
    <row r="985" customFormat="false" ht="15" hidden="false" customHeight="false" outlineLevel="0" collapsed="false">
      <c r="A985" s="2" t="s">
        <v>70</v>
      </c>
      <c r="B985" s="2" t="n">
        <v>4</v>
      </c>
      <c r="C985" s="2" t="n">
        <v>164</v>
      </c>
      <c r="D985" s="2" t="n">
        <v>3</v>
      </c>
      <c r="E985" s="2" t="n">
        <v>140</v>
      </c>
      <c r="F985" s="2" t="n">
        <v>60</v>
      </c>
      <c r="G985" s="2" t="s">
        <v>71</v>
      </c>
      <c r="H985" s="6" t="str">
        <f aca="false">A985&amp;"_"&amp;B985</f>
        <v>retiro_4</v>
      </c>
      <c r="I985" s="6" t="str">
        <f aca="false">H985&amp;"_"&amp;C985&amp;"_"&amp;G985</f>
        <v>retiro_4_164_Mela 1</v>
      </c>
      <c r="J985" s="6" t="n">
        <f aca="false">IF(COUNTIF($I$2:I985,I985)=1,1,0)</f>
        <v>0</v>
      </c>
      <c r="K985" s="6" t="n">
        <f aca="false">E985*$Q$2</f>
        <v>14</v>
      </c>
      <c r="L985" s="7" t="n">
        <f aca="false">K985/PI()</f>
        <v>4.45633840657307</v>
      </c>
      <c r="M985" s="8" t="n">
        <f aca="false">PI()*L985^2/40000</f>
        <v>0.00155971844230057</v>
      </c>
      <c r="N985" s="7" t="n">
        <f aca="false">F985*$Q$3</f>
        <v>6</v>
      </c>
      <c r="O985" s="3"/>
      <c r="P985" s="3"/>
      <c r="Q985" s="3"/>
    </row>
    <row r="986" customFormat="false" ht="15" hidden="false" customHeight="false" outlineLevel="0" collapsed="false">
      <c r="A986" s="2" t="s">
        <v>70</v>
      </c>
      <c r="B986" s="2" t="n">
        <v>4</v>
      </c>
      <c r="C986" s="2" t="n">
        <v>165</v>
      </c>
      <c r="D986" s="2" t="n">
        <v>1</v>
      </c>
      <c r="E986" s="2" t="n">
        <v>330</v>
      </c>
      <c r="F986" s="2" t="n">
        <v>70</v>
      </c>
      <c r="G986" s="2" t="s">
        <v>37</v>
      </c>
      <c r="H986" s="6" t="str">
        <f aca="false">A986&amp;"_"&amp;B986</f>
        <v>retiro_4</v>
      </c>
      <c r="I986" s="6" t="str">
        <f aca="false">H986&amp;"_"&amp;C986&amp;"_"&amp;G986</f>
        <v>retiro_4_165_Tabebuia cassinoides</v>
      </c>
      <c r="J986" s="6" t="n">
        <f aca="false">IF(COUNTIF($I$2:I986,I986)=1,1,0)</f>
        <v>1</v>
      </c>
      <c r="K986" s="6" t="n">
        <f aca="false">E986*$Q$2</f>
        <v>33</v>
      </c>
      <c r="L986" s="7" t="n">
        <f aca="false">K986/PI()</f>
        <v>10.5042262440651</v>
      </c>
      <c r="M986" s="8" t="n">
        <f aca="false">PI()*L986^2/40000</f>
        <v>0.0086659866513537</v>
      </c>
      <c r="N986" s="7" t="n">
        <f aca="false">F986*$Q$3</f>
        <v>7</v>
      </c>
      <c r="O986" s="3"/>
      <c r="P986" s="3"/>
      <c r="Q986" s="3"/>
    </row>
    <row r="987" customFormat="false" ht="15" hidden="false" customHeight="false" outlineLevel="0" collapsed="false">
      <c r="A987" s="2" t="s">
        <v>70</v>
      </c>
      <c r="B987" s="2" t="n">
        <v>4</v>
      </c>
      <c r="C987" s="2" t="n">
        <v>166</v>
      </c>
      <c r="D987" s="2" t="n">
        <v>1</v>
      </c>
      <c r="E987" s="2" t="n">
        <v>300</v>
      </c>
      <c r="F987" s="2" t="n">
        <v>70</v>
      </c>
      <c r="G987" s="2" t="s">
        <v>37</v>
      </c>
      <c r="H987" s="6" t="str">
        <f aca="false">A987&amp;"_"&amp;B987</f>
        <v>retiro_4</v>
      </c>
      <c r="I987" s="6" t="str">
        <f aca="false">H987&amp;"_"&amp;C987&amp;"_"&amp;G987</f>
        <v>retiro_4_166_Tabebuia cassinoides</v>
      </c>
      <c r="J987" s="6" t="n">
        <f aca="false">IF(COUNTIF($I$2:I987,I987)=1,1,0)</f>
        <v>1</v>
      </c>
      <c r="K987" s="6" t="n">
        <f aca="false">E987*$Q$2</f>
        <v>30</v>
      </c>
      <c r="L987" s="7" t="n">
        <f aca="false">K987/PI()</f>
        <v>9.54929658551372</v>
      </c>
      <c r="M987" s="8" t="n">
        <f aca="false">PI()*L987^2/40000</f>
        <v>0.00716197243913529</v>
      </c>
      <c r="N987" s="7" t="n">
        <f aca="false">F987*$Q$3</f>
        <v>7</v>
      </c>
      <c r="O987" s="3"/>
      <c r="P987" s="3"/>
      <c r="Q987" s="3"/>
    </row>
    <row r="988" customFormat="false" ht="15" hidden="false" customHeight="false" outlineLevel="0" collapsed="false">
      <c r="A988" s="2" t="s">
        <v>70</v>
      </c>
      <c r="B988" s="2" t="n">
        <v>4</v>
      </c>
      <c r="C988" s="2" t="n">
        <v>167</v>
      </c>
      <c r="D988" s="2" t="n">
        <v>1</v>
      </c>
      <c r="E988" s="2" t="n">
        <v>290</v>
      </c>
      <c r="F988" s="2" t="n">
        <v>80</v>
      </c>
      <c r="G988" s="2" t="s">
        <v>37</v>
      </c>
      <c r="H988" s="6" t="str">
        <f aca="false">A988&amp;"_"&amp;B988</f>
        <v>retiro_4</v>
      </c>
      <c r="I988" s="6" t="str">
        <f aca="false">H988&amp;"_"&amp;C988&amp;"_"&amp;G988</f>
        <v>retiro_4_167_Tabebuia cassinoides</v>
      </c>
      <c r="J988" s="6" t="n">
        <f aca="false">IF(COUNTIF($I$2:I988,I988)=1,1,0)</f>
        <v>1</v>
      </c>
      <c r="K988" s="6" t="n">
        <f aca="false">E988*$Q$2</f>
        <v>29</v>
      </c>
      <c r="L988" s="7" t="n">
        <f aca="false">K988/PI()</f>
        <v>9.23098669932993</v>
      </c>
      <c r="M988" s="8" t="n">
        <f aca="false">PI()*L988^2/40000</f>
        <v>0.0066924653570142</v>
      </c>
      <c r="N988" s="7" t="n">
        <f aca="false">F988*$Q$3</f>
        <v>8</v>
      </c>
      <c r="O988" s="3"/>
      <c r="P988" s="3"/>
      <c r="Q988" s="3"/>
    </row>
    <row r="989" customFormat="false" ht="15" hidden="false" customHeight="false" outlineLevel="0" collapsed="false">
      <c r="A989" s="2" t="s">
        <v>70</v>
      </c>
      <c r="B989" s="2" t="n">
        <v>4</v>
      </c>
      <c r="C989" s="2" t="n">
        <v>168</v>
      </c>
      <c r="D989" s="2" t="n">
        <v>1</v>
      </c>
      <c r="E989" s="2" t="n">
        <v>180</v>
      </c>
      <c r="F989" s="2" t="n">
        <v>50</v>
      </c>
      <c r="G989" s="2" t="s">
        <v>37</v>
      </c>
      <c r="H989" s="6" t="str">
        <f aca="false">A989&amp;"_"&amp;B989</f>
        <v>retiro_4</v>
      </c>
      <c r="I989" s="6" t="str">
        <f aca="false">H989&amp;"_"&amp;C989&amp;"_"&amp;G989</f>
        <v>retiro_4_168_Tabebuia cassinoides</v>
      </c>
      <c r="J989" s="6" t="n">
        <f aca="false">IF(COUNTIF($I$2:I989,I989)=1,1,0)</f>
        <v>1</v>
      </c>
      <c r="K989" s="6" t="n">
        <f aca="false">E989*$Q$2</f>
        <v>18</v>
      </c>
      <c r="L989" s="7" t="n">
        <f aca="false">K989/PI()</f>
        <v>5.72957795130823</v>
      </c>
      <c r="M989" s="8" t="n">
        <f aca="false">PI()*L989^2/40000</f>
        <v>0.0025783100780887</v>
      </c>
      <c r="N989" s="7" t="n">
        <f aca="false">F989*$Q$3</f>
        <v>5</v>
      </c>
      <c r="O989" s="3"/>
      <c r="P989" s="3"/>
      <c r="Q989" s="3"/>
    </row>
    <row r="990" customFormat="false" ht="15" hidden="false" customHeight="false" outlineLevel="0" collapsed="false">
      <c r="A990" s="2" t="s">
        <v>70</v>
      </c>
      <c r="B990" s="2" t="n">
        <v>4</v>
      </c>
      <c r="C990" s="2" t="n">
        <v>169</v>
      </c>
      <c r="D990" s="2" t="n">
        <v>1</v>
      </c>
      <c r="E990" s="2" t="n">
        <v>160</v>
      </c>
      <c r="F990" s="2" t="n">
        <v>20</v>
      </c>
      <c r="G990" s="2" t="s">
        <v>71</v>
      </c>
      <c r="H990" s="6" t="str">
        <f aca="false">A990&amp;"_"&amp;B990</f>
        <v>retiro_4</v>
      </c>
      <c r="I990" s="6" t="str">
        <f aca="false">H990&amp;"_"&amp;C990&amp;"_"&amp;G990</f>
        <v>retiro_4_169_Mela 1</v>
      </c>
      <c r="J990" s="6" t="n">
        <f aca="false">IF(COUNTIF($I$2:I990,I990)=1,1,0)</f>
        <v>1</v>
      </c>
      <c r="K990" s="6" t="n">
        <f aca="false">E990*$Q$2</f>
        <v>16</v>
      </c>
      <c r="L990" s="7" t="n">
        <f aca="false">K990/PI()</f>
        <v>5.09295817894065</v>
      </c>
      <c r="M990" s="8" t="n">
        <f aca="false">PI()*L990^2/40000</f>
        <v>0.00203718327157626</v>
      </c>
      <c r="N990" s="7" t="n">
        <f aca="false">F990*$Q$3</f>
        <v>2</v>
      </c>
      <c r="O990" s="3"/>
      <c r="P990" s="3"/>
      <c r="Q990" s="3"/>
    </row>
    <row r="991" customFormat="false" ht="15" hidden="false" customHeight="false" outlineLevel="0" collapsed="false">
      <c r="A991" s="2" t="s">
        <v>70</v>
      </c>
      <c r="B991" s="2" t="n">
        <v>4</v>
      </c>
      <c r="C991" s="2" t="n">
        <v>170</v>
      </c>
      <c r="D991" s="2" t="n">
        <v>1</v>
      </c>
      <c r="E991" s="2" t="n">
        <v>190</v>
      </c>
      <c r="F991" s="2" t="n">
        <v>90</v>
      </c>
      <c r="G991" s="2" t="s">
        <v>37</v>
      </c>
      <c r="H991" s="6" t="str">
        <f aca="false">A991&amp;"_"&amp;B991</f>
        <v>retiro_4</v>
      </c>
      <c r="I991" s="6" t="str">
        <f aca="false">H991&amp;"_"&amp;C991&amp;"_"&amp;G991</f>
        <v>retiro_4_170_Tabebuia cassinoides</v>
      </c>
      <c r="J991" s="6" t="n">
        <f aca="false">IF(COUNTIF($I$2:I991,I991)=1,1,0)</f>
        <v>1</v>
      </c>
      <c r="K991" s="6" t="n">
        <f aca="false">E991*$Q$2</f>
        <v>19</v>
      </c>
      <c r="L991" s="7" t="n">
        <f aca="false">K991/PI()</f>
        <v>6.04788783749202</v>
      </c>
      <c r="M991" s="8" t="n">
        <f aca="false">PI()*L991^2/40000</f>
        <v>0.00287274672280871</v>
      </c>
      <c r="N991" s="7" t="n">
        <f aca="false">F991*$Q$3</f>
        <v>9</v>
      </c>
      <c r="O991" s="3"/>
      <c r="P991" s="3"/>
      <c r="Q991" s="3"/>
    </row>
    <row r="992" customFormat="false" ht="15" hidden="false" customHeight="false" outlineLevel="0" collapsed="false">
      <c r="A992" s="2" t="s">
        <v>70</v>
      </c>
      <c r="B992" s="2" t="n">
        <v>4</v>
      </c>
      <c r="C992" s="2" t="n">
        <v>171</v>
      </c>
      <c r="D992" s="2" t="n">
        <v>1</v>
      </c>
      <c r="E992" s="2" t="n">
        <v>380</v>
      </c>
      <c r="F992" s="2" t="n">
        <v>100</v>
      </c>
      <c r="G992" s="2" t="s">
        <v>37</v>
      </c>
      <c r="H992" s="6" t="str">
        <f aca="false">A992&amp;"_"&amp;B992</f>
        <v>retiro_4</v>
      </c>
      <c r="I992" s="6" t="str">
        <f aca="false">H992&amp;"_"&amp;C992&amp;"_"&amp;G992</f>
        <v>retiro_4_171_Tabebuia cassinoides</v>
      </c>
      <c r="J992" s="6" t="n">
        <f aca="false">IF(COUNTIF($I$2:I992,I992)=1,1,0)</f>
        <v>1</v>
      </c>
      <c r="K992" s="6" t="n">
        <f aca="false">E992*$Q$2</f>
        <v>38</v>
      </c>
      <c r="L992" s="7" t="n">
        <f aca="false">K992/PI()</f>
        <v>12.095775674984</v>
      </c>
      <c r="M992" s="8" t="n">
        <f aca="false">PI()*L992^2/40000</f>
        <v>0.0114909868912348</v>
      </c>
      <c r="N992" s="7" t="n">
        <f aca="false">F992*$Q$3</f>
        <v>10</v>
      </c>
      <c r="O992" s="3"/>
      <c r="P992" s="3"/>
      <c r="Q992" s="3"/>
    </row>
    <row r="993" customFormat="false" ht="15" hidden="false" customHeight="false" outlineLevel="0" collapsed="false">
      <c r="A993" s="2" t="s">
        <v>70</v>
      </c>
      <c r="B993" s="2" t="n">
        <v>4</v>
      </c>
      <c r="C993" s="2" t="n">
        <v>172</v>
      </c>
      <c r="D993" s="2" t="n">
        <v>1</v>
      </c>
      <c r="E993" s="2" t="n">
        <v>300</v>
      </c>
      <c r="F993" s="2" t="n">
        <v>50</v>
      </c>
      <c r="G993" s="2" t="s">
        <v>71</v>
      </c>
      <c r="H993" s="6" t="str">
        <f aca="false">A993&amp;"_"&amp;B993</f>
        <v>retiro_4</v>
      </c>
      <c r="I993" s="6" t="str">
        <f aca="false">H993&amp;"_"&amp;C993&amp;"_"&amp;G993</f>
        <v>retiro_4_172_Mela 1</v>
      </c>
      <c r="J993" s="6" t="n">
        <f aca="false">IF(COUNTIF($I$2:I993,I993)=1,1,0)</f>
        <v>1</v>
      </c>
      <c r="K993" s="6" t="n">
        <f aca="false">E993*$Q$2</f>
        <v>30</v>
      </c>
      <c r="L993" s="7" t="n">
        <f aca="false">K993/PI()</f>
        <v>9.54929658551372</v>
      </c>
      <c r="M993" s="8" t="n">
        <f aca="false">PI()*L993^2/40000</f>
        <v>0.00716197243913529</v>
      </c>
      <c r="N993" s="7" t="n">
        <f aca="false">F993*$Q$3</f>
        <v>5</v>
      </c>
      <c r="O993" s="3"/>
      <c r="P993" s="3"/>
      <c r="Q993" s="3"/>
    </row>
    <row r="994" customFormat="false" ht="15" hidden="false" customHeight="false" outlineLevel="0" collapsed="false">
      <c r="A994" s="2" t="s">
        <v>70</v>
      </c>
      <c r="B994" s="2" t="n">
        <v>4</v>
      </c>
      <c r="C994" s="2" t="n">
        <v>173</v>
      </c>
      <c r="D994" s="2" t="n">
        <v>1</v>
      </c>
      <c r="E994" s="2" t="n">
        <v>300</v>
      </c>
      <c r="F994" s="2" t="n">
        <v>90</v>
      </c>
      <c r="G994" s="2" t="s">
        <v>37</v>
      </c>
      <c r="H994" s="6" t="str">
        <f aca="false">A994&amp;"_"&amp;B994</f>
        <v>retiro_4</v>
      </c>
      <c r="I994" s="6" t="str">
        <f aca="false">H994&amp;"_"&amp;C994&amp;"_"&amp;G994</f>
        <v>retiro_4_173_Tabebuia cassinoides</v>
      </c>
      <c r="J994" s="6" t="n">
        <f aca="false">IF(COUNTIF($I$2:I994,I994)=1,1,0)</f>
        <v>1</v>
      </c>
      <c r="K994" s="6" t="n">
        <f aca="false">E994*$Q$2</f>
        <v>30</v>
      </c>
      <c r="L994" s="7" t="n">
        <f aca="false">K994/PI()</f>
        <v>9.54929658551372</v>
      </c>
      <c r="M994" s="8" t="n">
        <f aca="false">PI()*L994^2/40000</f>
        <v>0.00716197243913529</v>
      </c>
      <c r="N994" s="7" t="n">
        <f aca="false">F994*$Q$3</f>
        <v>9</v>
      </c>
      <c r="O994" s="3"/>
      <c r="P994" s="3"/>
      <c r="Q994" s="3"/>
    </row>
    <row r="995" customFormat="false" ht="15" hidden="false" customHeight="false" outlineLevel="0" collapsed="false">
      <c r="A995" s="2" t="s">
        <v>70</v>
      </c>
      <c r="B995" s="2" t="n">
        <v>4</v>
      </c>
      <c r="C995" s="2" t="n">
        <v>174</v>
      </c>
      <c r="D995" s="2" t="n">
        <v>1</v>
      </c>
      <c r="E995" s="2" t="n">
        <v>190</v>
      </c>
      <c r="F995" s="2" t="n">
        <v>50</v>
      </c>
      <c r="G995" s="2" t="s">
        <v>71</v>
      </c>
      <c r="H995" s="6" t="str">
        <f aca="false">A995&amp;"_"&amp;B995</f>
        <v>retiro_4</v>
      </c>
      <c r="I995" s="6" t="str">
        <f aca="false">H995&amp;"_"&amp;C995&amp;"_"&amp;G995</f>
        <v>retiro_4_174_Mela 1</v>
      </c>
      <c r="J995" s="6" t="n">
        <f aca="false">IF(COUNTIF($I$2:I995,I995)=1,1,0)</f>
        <v>1</v>
      </c>
      <c r="K995" s="6" t="n">
        <f aca="false">E995*$Q$2</f>
        <v>19</v>
      </c>
      <c r="L995" s="7" t="n">
        <f aca="false">K995/PI()</f>
        <v>6.04788783749202</v>
      </c>
      <c r="M995" s="8" t="n">
        <f aca="false">PI()*L995^2/40000</f>
        <v>0.00287274672280871</v>
      </c>
      <c r="N995" s="7" t="n">
        <f aca="false">F995*$Q$3</f>
        <v>5</v>
      </c>
      <c r="O995" s="3"/>
      <c r="P995" s="3"/>
      <c r="Q995" s="3"/>
    </row>
    <row r="996" customFormat="false" ht="15" hidden="false" customHeight="false" outlineLevel="0" collapsed="false">
      <c r="A996" s="2" t="s">
        <v>70</v>
      </c>
      <c r="B996" s="2" t="n">
        <v>4</v>
      </c>
      <c r="C996" s="2" t="n">
        <v>174</v>
      </c>
      <c r="D996" s="2" t="n">
        <v>2</v>
      </c>
      <c r="E996" s="2" t="n">
        <v>210</v>
      </c>
      <c r="F996" s="2" t="n">
        <v>50</v>
      </c>
      <c r="G996" s="2" t="s">
        <v>71</v>
      </c>
      <c r="H996" s="6" t="str">
        <f aca="false">A996&amp;"_"&amp;B996</f>
        <v>retiro_4</v>
      </c>
      <c r="I996" s="6" t="str">
        <f aca="false">H996&amp;"_"&amp;C996&amp;"_"&amp;G996</f>
        <v>retiro_4_174_Mela 1</v>
      </c>
      <c r="J996" s="6" t="n">
        <f aca="false">IF(COUNTIF($I$2:I996,I996)=1,1,0)</f>
        <v>0</v>
      </c>
      <c r="K996" s="6" t="n">
        <f aca="false">E996*$Q$2</f>
        <v>21</v>
      </c>
      <c r="L996" s="7" t="n">
        <f aca="false">K996/PI()</f>
        <v>6.68450760985961</v>
      </c>
      <c r="M996" s="8" t="n">
        <f aca="false">PI()*L996^2/40000</f>
        <v>0.00350936649517629</v>
      </c>
      <c r="N996" s="7" t="n">
        <f aca="false">F996*$Q$3</f>
        <v>5</v>
      </c>
      <c r="O996" s="3"/>
      <c r="P996" s="3"/>
      <c r="Q996" s="3"/>
    </row>
    <row r="997" customFormat="false" ht="15" hidden="false" customHeight="false" outlineLevel="0" collapsed="false">
      <c r="A997" s="2" t="s">
        <v>70</v>
      </c>
      <c r="B997" s="2" t="n">
        <v>4</v>
      </c>
      <c r="C997" s="2" t="n">
        <v>174</v>
      </c>
      <c r="D997" s="2" t="n">
        <v>3</v>
      </c>
      <c r="E997" s="2" t="n">
        <v>180</v>
      </c>
      <c r="F997" s="2" t="n">
        <v>50</v>
      </c>
      <c r="G997" s="2" t="s">
        <v>71</v>
      </c>
      <c r="H997" s="6" t="str">
        <f aca="false">A997&amp;"_"&amp;B997</f>
        <v>retiro_4</v>
      </c>
      <c r="I997" s="6" t="str">
        <f aca="false">H997&amp;"_"&amp;C997&amp;"_"&amp;G997</f>
        <v>retiro_4_174_Mela 1</v>
      </c>
      <c r="J997" s="6" t="n">
        <f aca="false">IF(COUNTIF($I$2:I997,I997)=1,1,0)</f>
        <v>0</v>
      </c>
      <c r="K997" s="6" t="n">
        <f aca="false">E997*$Q$2</f>
        <v>18</v>
      </c>
      <c r="L997" s="7" t="n">
        <f aca="false">K997/PI()</f>
        <v>5.72957795130823</v>
      </c>
      <c r="M997" s="8" t="n">
        <f aca="false">PI()*L997^2/40000</f>
        <v>0.0025783100780887</v>
      </c>
      <c r="N997" s="7" t="n">
        <f aca="false">F997*$Q$3</f>
        <v>5</v>
      </c>
      <c r="O997" s="3"/>
      <c r="P997" s="3"/>
      <c r="Q997" s="3"/>
    </row>
    <row r="998" customFormat="false" ht="15" hidden="false" customHeight="false" outlineLevel="0" collapsed="false">
      <c r="A998" s="2" t="s">
        <v>70</v>
      </c>
      <c r="B998" s="2" t="n">
        <v>4</v>
      </c>
      <c r="C998" s="2" t="n">
        <v>174</v>
      </c>
      <c r="D998" s="2" t="n">
        <v>4</v>
      </c>
      <c r="E998" s="2" t="n">
        <v>160</v>
      </c>
      <c r="F998" s="2" t="n">
        <v>50</v>
      </c>
      <c r="G998" s="2" t="s">
        <v>71</v>
      </c>
      <c r="H998" s="6" t="str">
        <f aca="false">A998&amp;"_"&amp;B998</f>
        <v>retiro_4</v>
      </c>
      <c r="I998" s="6" t="str">
        <f aca="false">H998&amp;"_"&amp;C998&amp;"_"&amp;G998</f>
        <v>retiro_4_174_Mela 1</v>
      </c>
      <c r="J998" s="6" t="n">
        <f aca="false">IF(COUNTIF($I$2:I998,I998)=1,1,0)</f>
        <v>0</v>
      </c>
      <c r="K998" s="6" t="n">
        <f aca="false">E998*$Q$2</f>
        <v>16</v>
      </c>
      <c r="L998" s="7" t="n">
        <f aca="false">K998/PI()</f>
        <v>5.09295817894065</v>
      </c>
      <c r="M998" s="8" t="n">
        <f aca="false">PI()*L998^2/40000</f>
        <v>0.00203718327157626</v>
      </c>
      <c r="N998" s="7" t="n">
        <f aca="false">F998*$Q$3</f>
        <v>5</v>
      </c>
      <c r="O998" s="3"/>
      <c r="P998" s="3"/>
      <c r="Q998" s="3"/>
    </row>
    <row r="999" customFormat="false" ht="15" hidden="false" customHeight="false" outlineLevel="0" collapsed="false">
      <c r="A999" s="2" t="s">
        <v>70</v>
      </c>
      <c r="B999" s="2" t="n">
        <v>4</v>
      </c>
      <c r="C999" s="2" t="n">
        <v>175</v>
      </c>
      <c r="D999" s="2" t="n">
        <v>1</v>
      </c>
      <c r="E999" s="2" t="n">
        <v>340</v>
      </c>
      <c r="F999" s="2" t="n">
        <v>120</v>
      </c>
      <c r="G999" s="2" t="s">
        <v>37</v>
      </c>
      <c r="H999" s="6" t="str">
        <f aca="false">A999&amp;"_"&amp;B999</f>
        <v>retiro_4</v>
      </c>
      <c r="I999" s="6" t="str">
        <f aca="false">H999&amp;"_"&amp;C999&amp;"_"&amp;G999</f>
        <v>retiro_4_175_Tabebuia cassinoides</v>
      </c>
      <c r="J999" s="6" t="n">
        <f aca="false">IF(COUNTIF($I$2:I999,I999)=1,1,0)</f>
        <v>1</v>
      </c>
      <c r="K999" s="6" t="n">
        <f aca="false">E999*$Q$2</f>
        <v>34</v>
      </c>
      <c r="L999" s="7" t="n">
        <f aca="false">K999/PI()</f>
        <v>10.8225361302489</v>
      </c>
      <c r="M999" s="8" t="n">
        <f aca="false">PI()*L999^2/40000</f>
        <v>0.00919915571071155</v>
      </c>
      <c r="N999" s="7" t="n">
        <f aca="false">F999*$Q$3</f>
        <v>12</v>
      </c>
      <c r="O999" s="3"/>
      <c r="P999" s="3"/>
      <c r="Q999" s="3"/>
    </row>
    <row r="1000" customFormat="false" ht="15" hidden="false" customHeight="false" outlineLevel="0" collapsed="false">
      <c r="A1000" s="2" t="s">
        <v>70</v>
      </c>
      <c r="B1000" s="2" t="n">
        <v>4</v>
      </c>
      <c r="C1000" s="2" t="n">
        <v>176</v>
      </c>
      <c r="D1000" s="2" t="n">
        <v>1</v>
      </c>
      <c r="E1000" s="2" t="n">
        <v>340</v>
      </c>
      <c r="F1000" s="2" t="n">
        <v>100</v>
      </c>
      <c r="G1000" s="2" t="s">
        <v>37</v>
      </c>
      <c r="H1000" s="6" t="str">
        <f aca="false">A1000&amp;"_"&amp;B1000</f>
        <v>retiro_4</v>
      </c>
      <c r="I1000" s="6" t="str">
        <f aca="false">H1000&amp;"_"&amp;C1000&amp;"_"&amp;G1000</f>
        <v>retiro_4_176_Tabebuia cassinoides</v>
      </c>
      <c r="J1000" s="6" t="n">
        <f aca="false">IF(COUNTIF($I$2:I1000,I1000)=1,1,0)</f>
        <v>1</v>
      </c>
      <c r="K1000" s="6" t="n">
        <f aca="false">E1000*$Q$2</f>
        <v>34</v>
      </c>
      <c r="L1000" s="7" t="n">
        <f aca="false">K1000/PI()</f>
        <v>10.8225361302489</v>
      </c>
      <c r="M1000" s="8" t="n">
        <f aca="false">PI()*L1000^2/40000</f>
        <v>0.00919915571071155</v>
      </c>
      <c r="N1000" s="7" t="n">
        <f aca="false">F1000*$Q$3</f>
        <v>10</v>
      </c>
      <c r="O1000" s="3"/>
      <c r="P1000" s="3"/>
      <c r="Q1000" s="3"/>
    </row>
    <row r="1001" customFormat="false" ht="15" hidden="false" customHeight="false" outlineLevel="0" collapsed="false">
      <c r="A1001" s="2" t="s">
        <v>70</v>
      </c>
      <c r="B1001" s="2" t="n">
        <v>4</v>
      </c>
      <c r="C1001" s="2" t="n">
        <v>177</v>
      </c>
      <c r="D1001" s="2" t="n">
        <v>1</v>
      </c>
      <c r="E1001" s="2" t="n">
        <v>200</v>
      </c>
      <c r="F1001" s="2" t="n">
        <v>80</v>
      </c>
      <c r="G1001" s="2" t="s">
        <v>37</v>
      </c>
      <c r="H1001" s="6" t="str">
        <f aca="false">A1001&amp;"_"&amp;B1001</f>
        <v>retiro_4</v>
      </c>
      <c r="I1001" s="6" t="str">
        <f aca="false">H1001&amp;"_"&amp;C1001&amp;"_"&amp;G1001</f>
        <v>retiro_4_177_Tabebuia cassinoides</v>
      </c>
      <c r="J1001" s="6" t="n">
        <f aca="false">IF(COUNTIF($I$2:I1001,I1001)=1,1,0)</f>
        <v>1</v>
      </c>
      <c r="K1001" s="6" t="n">
        <f aca="false">E1001*$Q$2</f>
        <v>20</v>
      </c>
      <c r="L1001" s="7" t="n">
        <f aca="false">K1001/PI()</f>
        <v>6.36619772367581</v>
      </c>
      <c r="M1001" s="8" t="n">
        <f aca="false">PI()*L1001^2/40000</f>
        <v>0.00318309886183791</v>
      </c>
      <c r="N1001" s="7" t="n">
        <f aca="false">F1001*$Q$3</f>
        <v>8</v>
      </c>
      <c r="O1001" s="3"/>
      <c r="P1001" s="3"/>
      <c r="Q1001" s="3"/>
    </row>
    <row r="1002" customFormat="false" ht="15" hidden="false" customHeight="false" outlineLevel="0" collapsed="false">
      <c r="A1002" s="2" t="s">
        <v>70</v>
      </c>
      <c r="B1002" s="2" t="n">
        <v>4</v>
      </c>
      <c r="C1002" s="2" t="n">
        <v>178</v>
      </c>
      <c r="D1002" s="2" t="n">
        <v>1</v>
      </c>
      <c r="E1002" s="2" t="n">
        <v>330</v>
      </c>
      <c r="F1002" s="2" t="n">
        <v>100</v>
      </c>
      <c r="G1002" s="2" t="s">
        <v>37</v>
      </c>
      <c r="H1002" s="6" t="str">
        <f aca="false">A1002&amp;"_"&amp;B1002</f>
        <v>retiro_4</v>
      </c>
      <c r="I1002" s="6" t="str">
        <f aca="false">H1002&amp;"_"&amp;C1002&amp;"_"&amp;G1002</f>
        <v>retiro_4_178_Tabebuia cassinoides</v>
      </c>
      <c r="J1002" s="6" t="n">
        <f aca="false">IF(COUNTIF($I$2:I1002,I1002)=1,1,0)</f>
        <v>1</v>
      </c>
      <c r="K1002" s="6" t="n">
        <f aca="false">E1002*$Q$2</f>
        <v>33</v>
      </c>
      <c r="L1002" s="7" t="n">
        <f aca="false">K1002/PI()</f>
        <v>10.5042262440651</v>
      </c>
      <c r="M1002" s="8" t="n">
        <f aca="false">PI()*L1002^2/40000</f>
        <v>0.0086659866513537</v>
      </c>
      <c r="N1002" s="7" t="n">
        <f aca="false">F1002*$Q$3</f>
        <v>10</v>
      </c>
      <c r="O1002" s="3"/>
      <c r="P1002" s="3"/>
      <c r="Q1002" s="3"/>
    </row>
    <row r="1003" customFormat="false" ht="15" hidden="false" customHeight="false" outlineLevel="0" collapsed="false">
      <c r="A1003" s="2" t="s">
        <v>70</v>
      </c>
      <c r="B1003" s="2" t="n">
        <v>4</v>
      </c>
      <c r="C1003" s="2" t="n">
        <v>179</v>
      </c>
      <c r="D1003" s="2" t="n">
        <v>1</v>
      </c>
      <c r="E1003" s="2" t="n">
        <v>270</v>
      </c>
      <c r="F1003" s="2" t="n">
        <v>80</v>
      </c>
      <c r="G1003" s="2" t="s">
        <v>37</v>
      </c>
      <c r="H1003" s="6" t="str">
        <f aca="false">A1003&amp;"_"&amp;B1003</f>
        <v>retiro_4</v>
      </c>
      <c r="I1003" s="6" t="str">
        <f aca="false">H1003&amp;"_"&amp;C1003&amp;"_"&amp;G1003</f>
        <v>retiro_4_179_Tabebuia cassinoides</v>
      </c>
      <c r="J1003" s="6" t="n">
        <f aca="false">IF(COUNTIF($I$2:I1003,I1003)=1,1,0)</f>
        <v>1</v>
      </c>
      <c r="K1003" s="6" t="n">
        <f aca="false">E1003*$Q$2</f>
        <v>27</v>
      </c>
      <c r="L1003" s="7" t="n">
        <f aca="false">K1003/PI()</f>
        <v>8.59436692696235</v>
      </c>
      <c r="M1003" s="8" t="n">
        <f aca="false">PI()*L1003^2/40000</f>
        <v>0.00580119767569958</v>
      </c>
      <c r="N1003" s="7" t="n">
        <f aca="false">F1003*$Q$3</f>
        <v>8</v>
      </c>
      <c r="O1003" s="3"/>
      <c r="P1003" s="3"/>
      <c r="Q1003" s="3"/>
    </row>
    <row r="1004" customFormat="false" ht="15" hidden="false" customHeight="false" outlineLevel="0" collapsed="false">
      <c r="A1004" s="2" t="s">
        <v>70</v>
      </c>
      <c r="B1004" s="2" t="n">
        <v>4</v>
      </c>
      <c r="C1004" s="2" t="n">
        <v>180</v>
      </c>
      <c r="D1004" s="2" t="n">
        <v>1</v>
      </c>
      <c r="E1004" s="2" t="n">
        <v>320</v>
      </c>
      <c r="F1004" s="2" t="n">
        <v>50</v>
      </c>
      <c r="G1004" s="2" t="s">
        <v>71</v>
      </c>
      <c r="H1004" s="6" t="str">
        <f aca="false">A1004&amp;"_"&amp;B1004</f>
        <v>retiro_4</v>
      </c>
      <c r="I1004" s="6" t="str">
        <f aca="false">H1004&amp;"_"&amp;C1004&amp;"_"&amp;G1004</f>
        <v>retiro_4_180_Mela 1</v>
      </c>
      <c r="J1004" s="6" t="n">
        <f aca="false">IF(COUNTIF($I$2:I1004,I1004)=1,1,0)</f>
        <v>1</v>
      </c>
      <c r="K1004" s="6" t="n">
        <f aca="false">E1004*$Q$2</f>
        <v>32</v>
      </c>
      <c r="L1004" s="7" t="n">
        <f aca="false">K1004/PI()</f>
        <v>10.1859163578813</v>
      </c>
      <c r="M1004" s="8" t="n">
        <f aca="false">PI()*L1004^2/40000</f>
        <v>0.00814873308630504</v>
      </c>
      <c r="N1004" s="7" t="n">
        <f aca="false">F1004*$Q$3</f>
        <v>5</v>
      </c>
      <c r="O1004" s="3"/>
      <c r="P1004" s="3"/>
      <c r="Q1004" s="3"/>
    </row>
    <row r="1005" customFormat="false" ht="15" hidden="false" customHeight="false" outlineLevel="0" collapsed="false">
      <c r="A1005" s="2" t="s">
        <v>70</v>
      </c>
      <c r="B1005" s="2" t="n">
        <v>4</v>
      </c>
      <c r="C1005" s="2" t="n">
        <v>181</v>
      </c>
      <c r="D1005" s="2" t="n">
        <v>1</v>
      </c>
      <c r="E1005" s="2" t="n">
        <v>230</v>
      </c>
      <c r="F1005" s="2" t="n">
        <v>70</v>
      </c>
      <c r="G1005" s="2" t="s">
        <v>71</v>
      </c>
      <c r="H1005" s="6" t="str">
        <f aca="false">A1005&amp;"_"&amp;B1005</f>
        <v>retiro_4</v>
      </c>
      <c r="I1005" s="6" t="str">
        <f aca="false">H1005&amp;"_"&amp;C1005&amp;"_"&amp;G1005</f>
        <v>retiro_4_181_Mela 1</v>
      </c>
      <c r="J1005" s="6" t="n">
        <f aca="false">IF(COUNTIF($I$2:I1005,I1005)=1,1,0)</f>
        <v>1</v>
      </c>
      <c r="K1005" s="6" t="n">
        <f aca="false">E1005*$Q$2</f>
        <v>23</v>
      </c>
      <c r="L1005" s="7" t="n">
        <f aca="false">K1005/PI()</f>
        <v>7.32112738222719</v>
      </c>
      <c r="M1005" s="8" t="n">
        <f aca="false">PI()*L1005^2/40000</f>
        <v>0.00420964824478063</v>
      </c>
      <c r="N1005" s="7" t="n">
        <f aca="false">F1005*$Q$3</f>
        <v>7</v>
      </c>
      <c r="O1005" s="3"/>
      <c r="P1005" s="3"/>
      <c r="Q1005" s="3"/>
    </row>
    <row r="1006" customFormat="false" ht="15" hidden="false" customHeight="false" outlineLevel="0" collapsed="false">
      <c r="A1006" s="2" t="s">
        <v>70</v>
      </c>
      <c r="B1006" s="2" t="n">
        <v>4</v>
      </c>
      <c r="C1006" s="2" t="n">
        <v>182</v>
      </c>
      <c r="D1006" s="2" t="n">
        <v>1</v>
      </c>
      <c r="E1006" s="2" t="n">
        <v>160</v>
      </c>
      <c r="F1006" s="2" t="n">
        <v>30</v>
      </c>
      <c r="G1006" s="2" t="s">
        <v>71</v>
      </c>
      <c r="H1006" s="6" t="str">
        <f aca="false">A1006&amp;"_"&amp;B1006</f>
        <v>retiro_4</v>
      </c>
      <c r="I1006" s="6" t="str">
        <f aca="false">H1006&amp;"_"&amp;C1006&amp;"_"&amp;G1006</f>
        <v>retiro_4_182_Mela 1</v>
      </c>
      <c r="J1006" s="6" t="n">
        <f aca="false">IF(COUNTIF($I$2:I1006,I1006)=1,1,0)</f>
        <v>1</v>
      </c>
      <c r="K1006" s="6" t="n">
        <f aca="false">E1006*$Q$2</f>
        <v>16</v>
      </c>
      <c r="L1006" s="7" t="n">
        <f aca="false">K1006/PI()</f>
        <v>5.09295817894065</v>
      </c>
      <c r="M1006" s="8" t="n">
        <f aca="false">PI()*L1006^2/40000</f>
        <v>0.00203718327157626</v>
      </c>
      <c r="N1006" s="7" t="n">
        <f aca="false">F1006*$Q$3</f>
        <v>3</v>
      </c>
      <c r="O1006" s="3"/>
      <c r="P1006" s="3"/>
      <c r="Q1006" s="3"/>
    </row>
    <row r="1007" customFormat="false" ht="15" hidden="false" customHeight="false" outlineLevel="0" collapsed="false">
      <c r="A1007" s="2" t="s">
        <v>70</v>
      </c>
      <c r="B1007" s="2" t="n">
        <v>4</v>
      </c>
      <c r="C1007" s="2" t="n">
        <v>183</v>
      </c>
      <c r="D1007" s="2" t="n">
        <v>1</v>
      </c>
      <c r="E1007" s="2" t="n">
        <v>320</v>
      </c>
      <c r="F1007" s="2" t="n">
        <v>20</v>
      </c>
      <c r="G1007" s="2" t="s">
        <v>71</v>
      </c>
      <c r="H1007" s="6" t="str">
        <f aca="false">A1007&amp;"_"&amp;B1007</f>
        <v>retiro_4</v>
      </c>
      <c r="I1007" s="6" t="str">
        <f aca="false">H1007&amp;"_"&amp;C1007&amp;"_"&amp;G1007</f>
        <v>retiro_4_183_Mela 1</v>
      </c>
      <c r="J1007" s="6" t="n">
        <f aca="false">IF(COUNTIF($I$2:I1007,I1007)=1,1,0)</f>
        <v>1</v>
      </c>
      <c r="K1007" s="6" t="n">
        <f aca="false">E1007*$Q$2</f>
        <v>32</v>
      </c>
      <c r="L1007" s="7" t="n">
        <f aca="false">K1007/PI()</f>
        <v>10.1859163578813</v>
      </c>
      <c r="M1007" s="8" t="n">
        <f aca="false">PI()*L1007^2/40000</f>
        <v>0.00814873308630504</v>
      </c>
      <c r="N1007" s="7" t="n">
        <f aca="false">F1007*$Q$3</f>
        <v>2</v>
      </c>
      <c r="O1007" s="3"/>
      <c r="P1007" s="3"/>
      <c r="Q1007" s="3"/>
    </row>
    <row r="1008" customFormat="false" ht="15" hidden="false" customHeight="false" outlineLevel="0" collapsed="false">
      <c r="A1008" s="2" t="s">
        <v>70</v>
      </c>
      <c r="B1008" s="2" t="n">
        <v>4</v>
      </c>
      <c r="C1008" s="2" t="n">
        <v>184</v>
      </c>
      <c r="D1008" s="2" t="n">
        <v>1</v>
      </c>
      <c r="E1008" s="2" t="n">
        <v>150</v>
      </c>
      <c r="F1008" s="2" t="n">
        <v>30</v>
      </c>
      <c r="G1008" s="2" t="s">
        <v>71</v>
      </c>
      <c r="H1008" s="6" t="str">
        <f aca="false">A1008&amp;"_"&amp;B1008</f>
        <v>retiro_4</v>
      </c>
      <c r="I1008" s="6" t="str">
        <f aca="false">H1008&amp;"_"&amp;C1008&amp;"_"&amp;G1008</f>
        <v>retiro_4_184_Mela 1</v>
      </c>
      <c r="J1008" s="6" t="n">
        <f aca="false">IF(COUNTIF($I$2:I1008,I1008)=1,1,0)</f>
        <v>1</v>
      </c>
      <c r="K1008" s="6" t="n">
        <f aca="false">E1008*$Q$2</f>
        <v>15</v>
      </c>
      <c r="L1008" s="7" t="n">
        <f aca="false">K1008/PI()</f>
        <v>4.77464829275686</v>
      </c>
      <c r="M1008" s="8" t="n">
        <f aca="false">PI()*L1008^2/40000</f>
        <v>0.00179049310978382</v>
      </c>
      <c r="N1008" s="7" t="n">
        <f aca="false">F1008*$Q$3</f>
        <v>3</v>
      </c>
      <c r="O1008" s="3"/>
      <c r="P1008" s="3"/>
      <c r="Q1008" s="3"/>
    </row>
    <row r="1009" customFormat="false" ht="15" hidden="false" customHeight="false" outlineLevel="0" collapsed="false">
      <c r="A1009" s="2" t="s">
        <v>70</v>
      </c>
      <c r="B1009" s="2" t="n">
        <v>4</v>
      </c>
      <c r="C1009" s="2" t="n">
        <v>185</v>
      </c>
      <c r="D1009" s="2" t="n">
        <v>1</v>
      </c>
      <c r="E1009" s="2" t="n">
        <v>110</v>
      </c>
      <c r="F1009" s="2" t="n">
        <v>70</v>
      </c>
      <c r="G1009" s="2" t="s">
        <v>71</v>
      </c>
      <c r="H1009" s="6" t="str">
        <f aca="false">A1009&amp;"_"&amp;B1009</f>
        <v>retiro_4</v>
      </c>
      <c r="I1009" s="6" t="str">
        <f aca="false">H1009&amp;"_"&amp;C1009&amp;"_"&amp;G1009</f>
        <v>retiro_4_185_Mela 1</v>
      </c>
      <c r="J1009" s="6" t="n">
        <f aca="false">IF(COUNTIF($I$2:I1009,I1009)=1,1,0)</f>
        <v>1</v>
      </c>
      <c r="K1009" s="6" t="n">
        <f aca="false">E1009*$Q$2</f>
        <v>11</v>
      </c>
      <c r="L1009" s="7" t="n">
        <f aca="false">K1009/PI()</f>
        <v>3.5014087480217</v>
      </c>
      <c r="M1009" s="8" t="n">
        <f aca="false">PI()*L1009^2/40000</f>
        <v>0.000962887405705967</v>
      </c>
      <c r="N1009" s="7" t="n">
        <f aca="false">F1009*$Q$3</f>
        <v>7</v>
      </c>
      <c r="O1009" s="3"/>
      <c r="P1009" s="3"/>
      <c r="Q1009" s="3"/>
    </row>
    <row r="1010" customFormat="false" ht="15" hidden="false" customHeight="false" outlineLevel="0" collapsed="false">
      <c r="A1010" s="2" t="s">
        <v>70</v>
      </c>
      <c r="B1010" s="2" t="n">
        <v>4</v>
      </c>
      <c r="C1010" s="2" t="n">
        <v>185</v>
      </c>
      <c r="D1010" s="2" t="n">
        <v>2</v>
      </c>
      <c r="E1010" s="2" t="n">
        <v>250</v>
      </c>
      <c r="F1010" s="2" t="n">
        <v>70</v>
      </c>
      <c r="G1010" s="2" t="s">
        <v>71</v>
      </c>
      <c r="H1010" s="6" t="str">
        <f aca="false">A1010&amp;"_"&amp;B1010</f>
        <v>retiro_4</v>
      </c>
      <c r="I1010" s="6" t="str">
        <f aca="false">H1010&amp;"_"&amp;C1010&amp;"_"&amp;G1010</f>
        <v>retiro_4_185_Mela 1</v>
      </c>
      <c r="J1010" s="6" t="n">
        <f aca="false">IF(COUNTIF($I$2:I1010,I1010)=1,1,0)</f>
        <v>0</v>
      </c>
      <c r="K1010" s="6" t="n">
        <f aca="false">E1010*$Q$2</f>
        <v>25</v>
      </c>
      <c r="L1010" s="7" t="n">
        <f aca="false">K1010/PI()</f>
        <v>7.95774715459477</v>
      </c>
      <c r="M1010" s="8" t="n">
        <f aca="false">PI()*L1010^2/40000</f>
        <v>0.00497359197162173</v>
      </c>
      <c r="N1010" s="7" t="n">
        <f aca="false">F1010*$Q$3</f>
        <v>7</v>
      </c>
      <c r="O1010" s="3"/>
      <c r="P1010" s="3"/>
      <c r="Q1010" s="3"/>
    </row>
    <row r="1011" customFormat="false" ht="15" hidden="false" customHeight="false" outlineLevel="0" collapsed="false">
      <c r="A1011" s="2" t="s">
        <v>70</v>
      </c>
      <c r="B1011" s="2" t="n">
        <v>4</v>
      </c>
      <c r="C1011" s="2" t="n">
        <v>186</v>
      </c>
      <c r="D1011" s="2" t="n">
        <v>1</v>
      </c>
      <c r="E1011" s="2" t="n">
        <v>230</v>
      </c>
      <c r="F1011" s="2" t="n">
        <v>30</v>
      </c>
      <c r="G1011" s="2" t="s">
        <v>37</v>
      </c>
      <c r="H1011" s="6" t="str">
        <f aca="false">A1011&amp;"_"&amp;B1011</f>
        <v>retiro_4</v>
      </c>
      <c r="I1011" s="6" t="str">
        <f aca="false">H1011&amp;"_"&amp;C1011&amp;"_"&amp;G1011</f>
        <v>retiro_4_186_Tabebuia cassinoides</v>
      </c>
      <c r="J1011" s="6" t="n">
        <f aca="false">IF(COUNTIF($I$2:I1011,I1011)=1,1,0)</f>
        <v>1</v>
      </c>
      <c r="K1011" s="6" t="n">
        <f aca="false">E1011*$Q$2</f>
        <v>23</v>
      </c>
      <c r="L1011" s="7" t="n">
        <f aca="false">K1011/PI()</f>
        <v>7.32112738222719</v>
      </c>
      <c r="M1011" s="8" t="n">
        <f aca="false">PI()*L1011^2/40000</f>
        <v>0.00420964824478063</v>
      </c>
      <c r="N1011" s="7" t="n">
        <f aca="false">F1011*$Q$3</f>
        <v>3</v>
      </c>
      <c r="O1011" s="3"/>
      <c r="P1011" s="3"/>
      <c r="Q1011" s="3"/>
    </row>
    <row r="1012" customFormat="false" ht="15" hidden="false" customHeight="false" outlineLevel="0" collapsed="false">
      <c r="A1012" s="2" t="s">
        <v>70</v>
      </c>
      <c r="B1012" s="2" t="n">
        <v>4</v>
      </c>
      <c r="C1012" s="2" t="n">
        <v>187</v>
      </c>
      <c r="D1012" s="2" t="n">
        <v>1</v>
      </c>
      <c r="E1012" s="2" t="n">
        <v>270</v>
      </c>
      <c r="F1012" s="2" t="n">
        <v>50</v>
      </c>
      <c r="G1012" s="2" t="s">
        <v>37</v>
      </c>
      <c r="H1012" s="6" t="str">
        <f aca="false">A1012&amp;"_"&amp;B1012</f>
        <v>retiro_4</v>
      </c>
      <c r="I1012" s="6" t="str">
        <f aca="false">H1012&amp;"_"&amp;C1012&amp;"_"&amp;G1012</f>
        <v>retiro_4_187_Tabebuia cassinoides</v>
      </c>
      <c r="J1012" s="6" t="n">
        <f aca="false">IF(COUNTIF($I$2:I1012,I1012)=1,1,0)</f>
        <v>1</v>
      </c>
      <c r="K1012" s="6" t="n">
        <f aca="false">E1012*$Q$2</f>
        <v>27</v>
      </c>
      <c r="L1012" s="7" t="n">
        <f aca="false">K1012/PI()</f>
        <v>8.59436692696235</v>
      </c>
      <c r="M1012" s="8" t="n">
        <f aca="false">PI()*L1012^2/40000</f>
        <v>0.00580119767569958</v>
      </c>
      <c r="N1012" s="7" t="n">
        <f aca="false">F1012*$Q$3</f>
        <v>5</v>
      </c>
      <c r="O1012" s="3"/>
      <c r="P1012" s="3"/>
      <c r="Q1012" s="3"/>
    </row>
    <row r="1013" customFormat="false" ht="15" hidden="false" customHeight="false" outlineLevel="0" collapsed="false">
      <c r="A1013" s="2" t="s">
        <v>70</v>
      </c>
      <c r="B1013" s="2" t="n">
        <v>4</v>
      </c>
      <c r="C1013" s="2" t="n">
        <v>188</v>
      </c>
      <c r="D1013" s="2" t="n">
        <v>1</v>
      </c>
      <c r="E1013" s="2" t="n">
        <v>220</v>
      </c>
      <c r="F1013" s="2" t="n">
        <v>40</v>
      </c>
      <c r="G1013" s="2" t="s">
        <v>37</v>
      </c>
      <c r="H1013" s="6" t="str">
        <f aca="false">A1013&amp;"_"&amp;B1013</f>
        <v>retiro_4</v>
      </c>
      <c r="I1013" s="6" t="str">
        <f aca="false">H1013&amp;"_"&amp;C1013&amp;"_"&amp;G1013</f>
        <v>retiro_4_188_Tabebuia cassinoides</v>
      </c>
      <c r="J1013" s="6" t="n">
        <f aca="false">IF(COUNTIF($I$2:I1013,I1013)=1,1,0)</f>
        <v>1</v>
      </c>
      <c r="K1013" s="6" t="n">
        <f aca="false">E1013*$Q$2</f>
        <v>22</v>
      </c>
      <c r="L1013" s="7" t="n">
        <f aca="false">K1013/PI()</f>
        <v>7.0028174960434</v>
      </c>
      <c r="M1013" s="8" t="n">
        <f aca="false">PI()*L1013^2/40000</f>
        <v>0.00385154962282387</v>
      </c>
      <c r="N1013" s="7" t="n">
        <f aca="false">F1013*$Q$3</f>
        <v>4</v>
      </c>
      <c r="O1013" s="3"/>
      <c r="P1013" s="3"/>
      <c r="Q1013" s="3"/>
    </row>
    <row r="1014" customFormat="false" ht="15" hidden="false" customHeight="false" outlineLevel="0" collapsed="false">
      <c r="A1014" s="2" t="s">
        <v>70</v>
      </c>
      <c r="B1014" s="2" t="n">
        <v>4</v>
      </c>
      <c r="C1014" s="2" t="n">
        <v>189</v>
      </c>
      <c r="D1014" s="2" t="n">
        <v>1</v>
      </c>
      <c r="E1014" s="2" t="n">
        <v>160</v>
      </c>
      <c r="F1014" s="2" t="n">
        <v>40</v>
      </c>
      <c r="G1014" s="2" t="s">
        <v>71</v>
      </c>
      <c r="H1014" s="6" t="str">
        <f aca="false">A1014&amp;"_"&amp;B1014</f>
        <v>retiro_4</v>
      </c>
      <c r="I1014" s="6" t="str">
        <f aca="false">H1014&amp;"_"&amp;C1014&amp;"_"&amp;G1014</f>
        <v>retiro_4_189_Mela 1</v>
      </c>
      <c r="J1014" s="6" t="n">
        <f aca="false">IF(COUNTIF($I$2:I1014,I1014)=1,1,0)</f>
        <v>1</v>
      </c>
      <c r="K1014" s="6" t="n">
        <f aca="false">E1014*$Q$2</f>
        <v>16</v>
      </c>
      <c r="L1014" s="7" t="n">
        <f aca="false">K1014/PI()</f>
        <v>5.09295817894065</v>
      </c>
      <c r="M1014" s="8" t="n">
        <f aca="false">PI()*L1014^2/40000</f>
        <v>0.00203718327157626</v>
      </c>
      <c r="N1014" s="7" t="n">
        <f aca="false">F1014*$Q$3</f>
        <v>4</v>
      </c>
      <c r="O1014" s="3"/>
      <c r="P1014" s="3"/>
      <c r="Q1014" s="3"/>
    </row>
    <row r="1015" customFormat="false" ht="15" hidden="false" customHeight="false" outlineLevel="0" collapsed="false">
      <c r="A1015" s="2" t="s">
        <v>70</v>
      </c>
      <c r="B1015" s="2" t="n">
        <v>4</v>
      </c>
      <c r="C1015" s="2" t="n">
        <v>190</v>
      </c>
      <c r="D1015" s="2" t="n">
        <v>1</v>
      </c>
      <c r="E1015" s="2" t="n">
        <v>150</v>
      </c>
      <c r="F1015" s="2" t="n">
        <v>40</v>
      </c>
      <c r="G1015" s="2" t="s">
        <v>71</v>
      </c>
      <c r="H1015" s="6" t="str">
        <f aca="false">A1015&amp;"_"&amp;B1015</f>
        <v>retiro_4</v>
      </c>
      <c r="I1015" s="6" t="str">
        <f aca="false">H1015&amp;"_"&amp;C1015&amp;"_"&amp;G1015</f>
        <v>retiro_4_190_Mela 1</v>
      </c>
      <c r="J1015" s="6" t="n">
        <f aca="false">IF(COUNTIF($I$2:I1015,I1015)=1,1,0)</f>
        <v>1</v>
      </c>
      <c r="K1015" s="6" t="n">
        <f aca="false">E1015*$Q$2</f>
        <v>15</v>
      </c>
      <c r="L1015" s="7" t="n">
        <f aca="false">K1015/PI()</f>
        <v>4.77464829275686</v>
      </c>
      <c r="M1015" s="8" t="n">
        <f aca="false">PI()*L1015^2/40000</f>
        <v>0.00179049310978382</v>
      </c>
      <c r="N1015" s="7" t="n">
        <f aca="false">F1015*$Q$3</f>
        <v>4</v>
      </c>
      <c r="O1015" s="3"/>
      <c r="P1015" s="3"/>
      <c r="Q1015" s="3"/>
    </row>
    <row r="1016" customFormat="false" ht="15" hidden="false" customHeight="false" outlineLevel="0" collapsed="false">
      <c r="A1016" s="2" t="s">
        <v>70</v>
      </c>
      <c r="B1016" s="2" t="n">
        <v>4</v>
      </c>
      <c r="C1016" s="2" t="n">
        <v>191</v>
      </c>
      <c r="D1016" s="2" t="n">
        <v>1</v>
      </c>
      <c r="E1016" s="2" t="n">
        <v>190</v>
      </c>
      <c r="F1016" s="2" t="n">
        <v>40</v>
      </c>
      <c r="G1016" s="2" t="s">
        <v>71</v>
      </c>
      <c r="H1016" s="6" t="str">
        <f aca="false">A1016&amp;"_"&amp;B1016</f>
        <v>retiro_4</v>
      </c>
      <c r="I1016" s="6" t="str">
        <f aca="false">H1016&amp;"_"&amp;C1016&amp;"_"&amp;G1016</f>
        <v>retiro_4_191_Mela 1</v>
      </c>
      <c r="J1016" s="6" t="n">
        <f aca="false">IF(COUNTIF($I$2:I1016,I1016)=1,1,0)</f>
        <v>1</v>
      </c>
      <c r="K1016" s="6" t="n">
        <f aca="false">E1016*$Q$2</f>
        <v>19</v>
      </c>
      <c r="L1016" s="7" t="n">
        <f aca="false">K1016/PI()</f>
        <v>6.04788783749202</v>
      </c>
      <c r="M1016" s="8" t="n">
        <f aca="false">PI()*L1016^2/40000</f>
        <v>0.00287274672280871</v>
      </c>
      <c r="N1016" s="7" t="n">
        <f aca="false">F1016*$Q$3</f>
        <v>4</v>
      </c>
      <c r="O1016" s="3"/>
      <c r="P1016" s="3"/>
      <c r="Q1016" s="3"/>
    </row>
    <row r="1017" customFormat="false" ht="15" hidden="false" customHeight="false" outlineLevel="0" collapsed="false">
      <c r="A1017" s="2" t="s">
        <v>70</v>
      </c>
      <c r="B1017" s="2" t="n">
        <v>5</v>
      </c>
      <c r="C1017" s="2" t="n">
        <v>192</v>
      </c>
      <c r="D1017" s="2" t="n">
        <v>1</v>
      </c>
      <c r="E1017" s="2" t="n">
        <v>370</v>
      </c>
      <c r="F1017" s="2" t="n">
        <v>100</v>
      </c>
      <c r="G1017" s="2" t="s">
        <v>45</v>
      </c>
      <c r="H1017" s="6" t="str">
        <f aca="false">A1017&amp;"_"&amp;B1017</f>
        <v>retiro_5</v>
      </c>
      <c r="I1017" s="6" t="str">
        <f aca="false">H1017&amp;"_"&amp;C1017&amp;"_"&amp;G1017</f>
        <v>retiro_5_192_Coussapoa micropoda</v>
      </c>
      <c r="J1017" s="6" t="n">
        <f aca="false">IF(COUNTIF($I$2:I1017,I1017)=1,1,0)</f>
        <v>1</v>
      </c>
      <c r="K1017" s="6" t="n">
        <f aca="false">E1017*$Q$2</f>
        <v>37</v>
      </c>
      <c r="L1017" s="7" t="n">
        <f aca="false">K1017/PI()</f>
        <v>11.7774657888003</v>
      </c>
      <c r="M1017" s="8" t="n">
        <f aca="false">PI()*L1017^2/40000</f>
        <v>0.0108941558546402</v>
      </c>
      <c r="N1017" s="7" t="n">
        <f aca="false">F1017*$Q$3</f>
        <v>10</v>
      </c>
      <c r="O1017" s="3"/>
      <c r="P1017" s="3"/>
      <c r="Q1017" s="3"/>
    </row>
    <row r="1018" customFormat="false" ht="15" hidden="false" customHeight="false" outlineLevel="0" collapsed="false">
      <c r="A1018" s="2" t="s">
        <v>70</v>
      </c>
      <c r="B1018" s="2" t="n">
        <v>5</v>
      </c>
      <c r="C1018" s="2" t="n">
        <v>193</v>
      </c>
      <c r="D1018" s="2" t="n">
        <v>1</v>
      </c>
      <c r="E1018" s="2" t="n">
        <v>300</v>
      </c>
      <c r="F1018" s="2" t="n">
        <v>70</v>
      </c>
      <c r="G1018" s="2" t="s">
        <v>37</v>
      </c>
      <c r="H1018" s="6" t="str">
        <f aca="false">A1018&amp;"_"&amp;B1018</f>
        <v>retiro_5</v>
      </c>
      <c r="I1018" s="6" t="str">
        <f aca="false">H1018&amp;"_"&amp;C1018&amp;"_"&amp;G1018</f>
        <v>retiro_5_193_Tabebuia cassinoides</v>
      </c>
      <c r="J1018" s="6" t="n">
        <f aca="false">IF(COUNTIF($I$2:I1018,I1018)=1,1,0)</f>
        <v>1</v>
      </c>
      <c r="K1018" s="6" t="n">
        <f aca="false">E1018*$Q$2</f>
        <v>30</v>
      </c>
      <c r="L1018" s="7" t="n">
        <f aca="false">K1018/PI()</f>
        <v>9.54929658551372</v>
      </c>
      <c r="M1018" s="8" t="n">
        <f aca="false">PI()*L1018^2/40000</f>
        <v>0.00716197243913529</v>
      </c>
      <c r="N1018" s="7" t="n">
        <f aca="false">F1018*$Q$3</f>
        <v>7</v>
      </c>
      <c r="O1018" s="3"/>
      <c r="P1018" s="3"/>
      <c r="Q1018" s="3"/>
    </row>
    <row r="1019" customFormat="false" ht="15" hidden="false" customHeight="false" outlineLevel="0" collapsed="false">
      <c r="A1019" s="2" t="s">
        <v>70</v>
      </c>
      <c r="B1019" s="2" t="n">
        <v>5</v>
      </c>
      <c r="C1019" s="2" t="n">
        <v>194</v>
      </c>
      <c r="D1019" s="2" t="n">
        <v>1</v>
      </c>
      <c r="E1019" s="2" t="n">
        <v>350</v>
      </c>
      <c r="F1019" s="2" t="n">
        <v>70</v>
      </c>
      <c r="G1019" s="2" t="s">
        <v>37</v>
      </c>
      <c r="H1019" s="6" t="str">
        <f aca="false">A1019&amp;"_"&amp;B1019</f>
        <v>retiro_5</v>
      </c>
      <c r="I1019" s="6" t="str">
        <f aca="false">H1019&amp;"_"&amp;C1019&amp;"_"&amp;G1019</f>
        <v>retiro_5_194_Tabebuia cassinoides</v>
      </c>
      <c r="J1019" s="6" t="n">
        <f aca="false">IF(COUNTIF($I$2:I1019,I1019)=1,1,0)</f>
        <v>1</v>
      </c>
      <c r="K1019" s="6" t="n">
        <f aca="false">E1019*$Q$2</f>
        <v>35</v>
      </c>
      <c r="L1019" s="7" t="n">
        <f aca="false">K1019/PI()</f>
        <v>11.1408460164327</v>
      </c>
      <c r="M1019" s="8" t="n">
        <f aca="false">PI()*L1019^2/40000</f>
        <v>0.00974824026437859</v>
      </c>
      <c r="N1019" s="7" t="n">
        <f aca="false">F1019*$Q$3</f>
        <v>7</v>
      </c>
      <c r="O1019" s="3"/>
      <c r="P1019" s="3"/>
      <c r="Q1019" s="3"/>
    </row>
    <row r="1020" customFormat="false" ht="15" hidden="false" customHeight="false" outlineLevel="0" collapsed="false">
      <c r="A1020" s="2" t="s">
        <v>70</v>
      </c>
      <c r="B1020" s="2" t="n">
        <v>5</v>
      </c>
      <c r="C1020" s="2" t="n">
        <v>195</v>
      </c>
      <c r="D1020" s="2" t="n">
        <v>1</v>
      </c>
      <c r="E1020" s="2" t="n">
        <v>420</v>
      </c>
      <c r="F1020" s="2" t="n">
        <v>90</v>
      </c>
      <c r="G1020" s="2" t="s">
        <v>37</v>
      </c>
      <c r="H1020" s="6" t="str">
        <f aca="false">A1020&amp;"_"&amp;B1020</f>
        <v>retiro_5</v>
      </c>
      <c r="I1020" s="6" t="str">
        <f aca="false">H1020&amp;"_"&amp;C1020&amp;"_"&amp;G1020</f>
        <v>retiro_5_195_Tabebuia cassinoides</v>
      </c>
      <c r="J1020" s="6" t="n">
        <f aca="false">IF(COUNTIF($I$2:I1020,I1020)=1,1,0)</f>
        <v>1</v>
      </c>
      <c r="K1020" s="6" t="n">
        <f aca="false">E1020*$Q$2</f>
        <v>42</v>
      </c>
      <c r="L1020" s="7" t="n">
        <f aca="false">K1020/PI()</f>
        <v>13.3690152197192</v>
      </c>
      <c r="M1020" s="8" t="n">
        <f aca="false">PI()*L1020^2/40000</f>
        <v>0.0140374659807052</v>
      </c>
      <c r="N1020" s="7" t="n">
        <f aca="false">F1020*$Q$3</f>
        <v>9</v>
      </c>
      <c r="O1020" s="3"/>
      <c r="P1020" s="3"/>
      <c r="Q1020" s="3"/>
    </row>
    <row r="1021" customFormat="false" ht="15" hidden="false" customHeight="false" outlineLevel="0" collapsed="false">
      <c r="A1021" s="2" t="s">
        <v>70</v>
      </c>
      <c r="B1021" s="2" t="n">
        <v>5</v>
      </c>
      <c r="C1021" s="2" t="n">
        <v>196</v>
      </c>
      <c r="D1021" s="2" t="n">
        <v>1</v>
      </c>
      <c r="E1021" s="2" t="n">
        <v>300</v>
      </c>
      <c r="F1021" s="2" t="n">
        <v>80</v>
      </c>
      <c r="G1021" s="2" t="s">
        <v>45</v>
      </c>
      <c r="H1021" s="6" t="str">
        <f aca="false">A1021&amp;"_"&amp;B1021</f>
        <v>retiro_5</v>
      </c>
      <c r="I1021" s="6" t="str">
        <f aca="false">H1021&amp;"_"&amp;C1021&amp;"_"&amp;G1021</f>
        <v>retiro_5_196_Coussapoa micropoda</v>
      </c>
      <c r="J1021" s="6" t="n">
        <f aca="false">IF(COUNTIF($I$2:I1021,I1021)=1,1,0)</f>
        <v>1</v>
      </c>
      <c r="K1021" s="6" t="n">
        <f aca="false">E1021*$Q$2</f>
        <v>30</v>
      </c>
      <c r="L1021" s="7" t="n">
        <f aca="false">K1021/PI()</f>
        <v>9.54929658551372</v>
      </c>
      <c r="M1021" s="8" t="n">
        <f aca="false">PI()*L1021^2/40000</f>
        <v>0.00716197243913529</v>
      </c>
      <c r="N1021" s="7" t="n">
        <f aca="false">F1021*$Q$3</f>
        <v>8</v>
      </c>
      <c r="O1021" s="3"/>
      <c r="P1021" s="3"/>
      <c r="Q1021" s="3"/>
    </row>
    <row r="1022" customFormat="false" ht="15" hidden="false" customHeight="false" outlineLevel="0" collapsed="false">
      <c r="A1022" s="2" t="s">
        <v>70</v>
      </c>
      <c r="B1022" s="2" t="n">
        <v>5</v>
      </c>
      <c r="C1022" s="2" t="n">
        <v>197</v>
      </c>
      <c r="D1022" s="2" t="n">
        <v>1</v>
      </c>
      <c r="E1022" s="2" t="n">
        <v>200</v>
      </c>
      <c r="F1022" s="2" t="n">
        <v>50</v>
      </c>
      <c r="G1022" s="2" t="s">
        <v>71</v>
      </c>
      <c r="H1022" s="6" t="str">
        <f aca="false">A1022&amp;"_"&amp;B1022</f>
        <v>retiro_5</v>
      </c>
      <c r="I1022" s="6" t="str">
        <f aca="false">H1022&amp;"_"&amp;C1022&amp;"_"&amp;G1022</f>
        <v>retiro_5_197_Mela 1</v>
      </c>
      <c r="J1022" s="6" t="n">
        <f aca="false">IF(COUNTIF($I$2:I1022,I1022)=1,1,0)</f>
        <v>1</v>
      </c>
      <c r="K1022" s="6" t="n">
        <f aca="false">E1022*$Q$2</f>
        <v>20</v>
      </c>
      <c r="L1022" s="7" t="n">
        <f aca="false">K1022/PI()</f>
        <v>6.36619772367581</v>
      </c>
      <c r="M1022" s="8" t="n">
        <f aca="false">PI()*L1022^2/40000</f>
        <v>0.00318309886183791</v>
      </c>
      <c r="N1022" s="7" t="n">
        <f aca="false">F1022*$Q$3</f>
        <v>5</v>
      </c>
      <c r="O1022" s="3"/>
      <c r="P1022" s="3"/>
      <c r="Q1022" s="3"/>
    </row>
    <row r="1023" customFormat="false" ht="15" hidden="false" customHeight="false" outlineLevel="0" collapsed="false">
      <c r="A1023" s="2" t="s">
        <v>70</v>
      </c>
      <c r="B1023" s="2" t="n">
        <v>5</v>
      </c>
      <c r="C1023" s="2" t="n">
        <v>198</v>
      </c>
      <c r="D1023" s="2" t="n">
        <v>1</v>
      </c>
      <c r="E1023" s="2" t="n">
        <v>280</v>
      </c>
      <c r="F1023" s="2" t="n">
        <v>70</v>
      </c>
      <c r="G1023" s="2" t="s">
        <v>37</v>
      </c>
      <c r="H1023" s="6" t="str">
        <f aca="false">A1023&amp;"_"&amp;B1023</f>
        <v>retiro_5</v>
      </c>
      <c r="I1023" s="6" t="str">
        <f aca="false">H1023&amp;"_"&amp;C1023&amp;"_"&amp;G1023</f>
        <v>retiro_5_198_Tabebuia cassinoides</v>
      </c>
      <c r="J1023" s="6" t="n">
        <f aca="false">IF(COUNTIF($I$2:I1023,I1023)=1,1,0)</f>
        <v>1</v>
      </c>
      <c r="K1023" s="6" t="n">
        <f aca="false">E1023*$Q$2</f>
        <v>28</v>
      </c>
      <c r="L1023" s="7" t="n">
        <f aca="false">K1023/PI()</f>
        <v>8.91267681314614</v>
      </c>
      <c r="M1023" s="8" t="n">
        <f aca="false">PI()*L1023^2/40000</f>
        <v>0.0062388737692023</v>
      </c>
      <c r="N1023" s="7" t="n">
        <f aca="false">F1023*$Q$3</f>
        <v>7</v>
      </c>
      <c r="O1023" s="3"/>
      <c r="P1023" s="3"/>
      <c r="Q1023" s="3"/>
    </row>
    <row r="1024" customFormat="false" ht="15" hidden="false" customHeight="false" outlineLevel="0" collapsed="false">
      <c r="A1024" s="2" t="s">
        <v>70</v>
      </c>
      <c r="B1024" s="2" t="n">
        <v>5</v>
      </c>
      <c r="C1024" s="2" t="n">
        <v>199</v>
      </c>
      <c r="D1024" s="2" t="n">
        <v>1</v>
      </c>
      <c r="E1024" s="2" t="n">
        <v>220</v>
      </c>
      <c r="F1024" s="2" t="n">
        <v>50</v>
      </c>
      <c r="G1024" s="2" t="s">
        <v>71</v>
      </c>
      <c r="H1024" s="6" t="str">
        <f aca="false">A1024&amp;"_"&amp;B1024</f>
        <v>retiro_5</v>
      </c>
      <c r="I1024" s="6" t="str">
        <f aca="false">H1024&amp;"_"&amp;C1024&amp;"_"&amp;G1024</f>
        <v>retiro_5_199_Mela 1</v>
      </c>
      <c r="J1024" s="6" t="n">
        <f aca="false">IF(COUNTIF($I$2:I1024,I1024)=1,1,0)</f>
        <v>1</v>
      </c>
      <c r="K1024" s="6" t="n">
        <f aca="false">E1024*$Q$2</f>
        <v>22</v>
      </c>
      <c r="L1024" s="7" t="n">
        <f aca="false">K1024/PI()</f>
        <v>7.0028174960434</v>
      </c>
      <c r="M1024" s="8" t="n">
        <f aca="false">PI()*L1024^2/40000</f>
        <v>0.00385154962282387</v>
      </c>
      <c r="N1024" s="7" t="n">
        <f aca="false">F1024*$Q$3</f>
        <v>5</v>
      </c>
      <c r="O1024" s="3"/>
      <c r="P1024" s="3"/>
      <c r="Q1024" s="3"/>
    </row>
    <row r="1025" customFormat="false" ht="15" hidden="false" customHeight="false" outlineLevel="0" collapsed="false">
      <c r="A1025" s="2" t="s">
        <v>70</v>
      </c>
      <c r="B1025" s="2" t="n">
        <v>5</v>
      </c>
      <c r="C1025" s="2" t="n">
        <v>200</v>
      </c>
      <c r="D1025" s="2" t="n">
        <v>1</v>
      </c>
      <c r="E1025" s="2" t="n">
        <v>230</v>
      </c>
      <c r="F1025" s="2" t="n">
        <v>50</v>
      </c>
      <c r="G1025" s="2" t="s">
        <v>71</v>
      </c>
      <c r="H1025" s="6" t="str">
        <f aca="false">A1025&amp;"_"&amp;B1025</f>
        <v>retiro_5</v>
      </c>
      <c r="I1025" s="6" t="str">
        <f aca="false">H1025&amp;"_"&amp;C1025&amp;"_"&amp;G1025</f>
        <v>retiro_5_200_Mela 1</v>
      </c>
      <c r="J1025" s="6" t="n">
        <f aca="false">IF(COUNTIF($I$2:I1025,I1025)=1,1,0)</f>
        <v>1</v>
      </c>
      <c r="K1025" s="6" t="n">
        <f aca="false">E1025*$Q$2</f>
        <v>23</v>
      </c>
      <c r="L1025" s="7" t="n">
        <f aca="false">K1025/PI()</f>
        <v>7.32112738222719</v>
      </c>
      <c r="M1025" s="8" t="n">
        <f aca="false">PI()*L1025^2/40000</f>
        <v>0.00420964824478063</v>
      </c>
      <c r="N1025" s="7" t="n">
        <f aca="false">F1025*$Q$3</f>
        <v>5</v>
      </c>
      <c r="O1025" s="3"/>
      <c r="P1025" s="3"/>
      <c r="Q1025" s="3"/>
    </row>
    <row r="1026" customFormat="false" ht="15" hidden="false" customHeight="false" outlineLevel="0" collapsed="false">
      <c r="A1026" s="2" t="s">
        <v>70</v>
      </c>
      <c r="B1026" s="2" t="n">
        <v>5</v>
      </c>
      <c r="C1026" s="2" t="n">
        <v>201</v>
      </c>
      <c r="D1026" s="2" t="n">
        <v>1</v>
      </c>
      <c r="E1026" s="2" t="n">
        <v>160</v>
      </c>
      <c r="F1026" s="2" t="n">
        <v>50</v>
      </c>
      <c r="G1026" s="2" t="s">
        <v>71</v>
      </c>
      <c r="H1026" s="6" t="str">
        <f aca="false">A1026&amp;"_"&amp;B1026</f>
        <v>retiro_5</v>
      </c>
      <c r="I1026" s="6" t="str">
        <f aca="false">H1026&amp;"_"&amp;C1026&amp;"_"&amp;G1026</f>
        <v>retiro_5_201_Mela 1</v>
      </c>
      <c r="J1026" s="6" t="n">
        <f aca="false">IF(COUNTIF($I$2:I1026,I1026)=1,1,0)</f>
        <v>1</v>
      </c>
      <c r="K1026" s="6" t="n">
        <f aca="false">E1026*$Q$2</f>
        <v>16</v>
      </c>
      <c r="L1026" s="7" t="n">
        <f aca="false">K1026/PI()</f>
        <v>5.09295817894065</v>
      </c>
      <c r="M1026" s="8" t="n">
        <f aca="false">PI()*L1026^2/40000</f>
        <v>0.00203718327157626</v>
      </c>
      <c r="N1026" s="7" t="n">
        <f aca="false">F1026*$Q$3</f>
        <v>5</v>
      </c>
      <c r="O1026" s="3"/>
      <c r="P1026" s="3"/>
      <c r="Q1026" s="3"/>
    </row>
    <row r="1027" customFormat="false" ht="15" hidden="false" customHeight="false" outlineLevel="0" collapsed="false">
      <c r="A1027" s="2" t="s">
        <v>70</v>
      </c>
      <c r="B1027" s="2" t="n">
        <v>5</v>
      </c>
      <c r="C1027" s="2" t="n">
        <v>202</v>
      </c>
      <c r="D1027" s="2" t="n">
        <v>1</v>
      </c>
      <c r="E1027" s="2" t="n">
        <v>200</v>
      </c>
      <c r="F1027" s="2" t="n">
        <v>50</v>
      </c>
      <c r="G1027" s="2" t="s">
        <v>71</v>
      </c>
      <c r="H1027" s="6" t="str">
        <f aca="false">A1027&amp;"_"&amp;B1027</f>
        <v>retiro_5</v>
      </c>
      <c r="I1027" s="6" t="str">
        <f aca="false">H1027&amp;"_"&amp;C1027&amp;"_"&amp;G1027</f>
        <v>retiro_5_202_Mela 1</v>
      </c>
      <c r="J1027" s="6" t="n">
        <f aca="false">IF(COUNTIF($I$2:I1027,I1027)=1,1,0)</f>
        <v>1</v>
      </c>
      <c r="K1027" s="6" t="n">
        <f aca="false">E1027*$Q$2</f>
        <v>20</v>
      </c>
      <c r="L1027" s="7" t="n">
        <f aca="false">K1027/PI()</f>
        <v>6.36619772367581</v>
      </c>
      <c r="M1027" s="8" t="n">
        <f aca="false">PI()*L1027^2/40000</f>
        <v>0.00318309886183791</v>
      </c>
      <c r="N1027" s="7" t="n">
        <f aca="false">F1027*$Q$3</f>
        <v>5</v>
      </c>
      <c r="O1027" s="3"/>
      <c r="P1027" s="3"/>
      <c r="Q1027" s="3"/>
    </row>
    <row r="1028" customFormat="false" ht="15" hidden="false" customHeight="false" outlineLevel="0" collapsed="false">
      <c r="A1028" s="2" t="s">
        <v>70</v>
      </c>
      <c r="B1028" s="2" t="n">
        <v>5</v>
      </c>
      <c r="C1028" s="2" t="n">
        <v>203</v>
      </c>
      <c r="D1028" s="2" t="n">
        <v>1</v>
      </c>
      <c r="E1028" s="2" t="n">
        <v>150</v>
      </c>
      <c r="F1028" s="2" t="n">
        <v>20</v>
      </c>
      <c r="G1028" s="2" t="s">
        <v>71</v>
      </c>
      <c r="H1028" s="6" t="str">
        <f aca="false">A1028&amp;"_"&amp;B1028</f>
        <v>retiro_5</v>
      </c>
      <c r="I1028" s="6" t="str">
        <f aca="false">H1028&amp;"_"&amp;C1028&amp;"_"&amp;G1028</f>
        <v>retiro_5_203_Mela 1</v>
      </c>
      <c r="J1028" s="6" t="n">
        <f aca="false">IF(COUNTIF($I$2:I1028,I1028)=1,1,0)</f>
        <v>1</v>
      </c>
      <c r="K1028" s="6" t="n">
        <f aca="false">E1028*$Q$2</f>
        <v>15</v>
      </c>
      <c r="L1028" s="7" t="n">
        <f aca="false">K1028/PI()</f>
        <v>4.77464829275686</v>
      </c>
      <c r="M1028" s="8" t="n">
        <f aca="false">PI()*L1028^2/40000</f>
        <v>0.00179049310978382</v>
      </c>
      <c r="N1028" s="7" t="n">
        <f aca="false">F1028*$Q$3</f>
        <v>2</v>
      </c>
      <c r="O1028" s="3"/>
      <c r="P1028" s="3"/>
      <c r="Q1028" s="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6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1"/>
    <col collapsed="false" customWidth="true" hidden="false" outlineLevel="0" max="3" min="3" style="0" width="8"/>
    <col collapsed="false" customWidth="true" hidden="false" outlineLevel="0" max="4" min="4" style="0" width="28"/>
    <col collapsed="false" customWidth="true" hidden="false" outlineLevel="0" max="5" min="5" style="0" width="32"/>
    <col collapsed="false" customWidth="true" hidden="false" outlineLevel="0" max="6" min="6" style="0" width="8"/>
    <col collapsed="false" customWidth="true" hidden="false" outlineLevel="0" max="7" min="7" style="0" width="13"/>
    <col collapsed="false" customWidth="true" hidden="false" outlineLevel="0" max="8" min="8" style="0" width="12"/>
    <col collapsed="false" customWidth="true" hidden="false" outlineLevel="0" max="9" min="9" style="0" width="13"/>
  </cols>
  <sheetData>
    <row r="1" customFormat="false" ht="26.85" hidden="false" customHeight="false" outlineLevel="0" collapsed="false">
      <c r="A1" s="5" t="s">
        <v>17</v>
      </c>
      <c r="B1" s="5" t="s">
        <v>24</v>
      </c>
      <c r="C1" s="5" t="s">
        <v>19</v>
      </c>
      <c r="D1" s="5" t="s">
        <v>23</v>
      </c>
      <c r="E1" s="5" t="s">
        <v>25</v>
      </c>
      <c r="F1" s="5" t="s">
        <v>81</v>
      </c>
      <c r="G1" s="5" t="s">
        <v>82</v>
      </c>
      <c r="H1" s="5" t="s">
        <v>83</v>
      </c>
      <c r="I1" s="5" t="s">
        <v>84</v>
      </c>
      <c r="J1" s="3"/>
      <c r="K1" s="3" t="s">
        <v>85</v>
      </c>
    </row>
    <row r="2" customFormat="false" ht="15" hidden="false" customHeight="false" outlineLevel="0" collapsed="false">
      <c r="A2" s="2" t="s">
        <v>32</v>
      </c>
      <c r="B2" s="2" t="s">
        <v>86</v>
      </c>
      <c r="C2" s="2" t="n">
        <v>1</v>
      </c>
      <c r="D2" s="2" t="s">
        <v>33</v>
      </c>
      <c r="E2" s="2" t="s">
        <v>87</v>
      </c>
      <c r="F2" s="6" t="n">
        <f aca="false">COUNTIF(dados!$I$2:$I$1028,E2)</f>
        <v>1</v>
      </c>
      <c r="G2" s="10" t="n">
        <f aca="false">SUMIFS(dados!$M$2:$M$1028,dados!$I$2:$I$1028,E2)</f>
        <v>0.00350936649517629</v>
      </c>
      <c r="H2" s="7" t="n">
        <f aca="false">SQRT(G2*40000/PI())</f>
        <v>6.68450760985961</v>
      </c>
      <c r="I2" s="11" t="n">
        <f aca="false">_xlfn.MAXIFS(dados!$N$2:$N$1028,dados!$I$2:$I$1028,E2)</f>
        <v>8</v>
      </c>
      <c r="J2" s="3"/>
      <c r="K2" s="3"/>
    </row>
    <row r="3" customFormat="false" ht="15" hidden="false" customHeight="false" outlineLevel="0" collapsed="false">
      <c r="A3" s="2" t="s">
        <v>32</v>
      </c>
      <c r="B3" s="2" t="s">
        <v>86</v>
      </c>
      <c r="C3" s="2" t="n">
        <v>3</v>
      </c>
      <c r="D3" s="2" t="s">
        <v>33</v>
      </c>
      <c r="E3" s="2" t="s">
        <v>88</v>
      </c>
      <c r="F3" s="6" t="n">
        <f aca="false">COUNTIF(dados!$I$2:$I$1028,E3)</f>
        <v>1</v>
      </c>
      <c r="G3" s="10" t="n">
        <f aca="false">SUMIFS(dados!$M$2:$M$1028,dados!$I$2:$I$1028,E3)</f>
        <v>0.00229978892767789</v>
      </c>
      <c r="H3" s="7" t="n">
        <f aca="false">SQRT(G3*40000/PI())</f>
        <v>5.41126806512444</v>
      </c>
      <c r="I3" s="11" t="n">
        <f aca="false">_xlfn.MAXIFS(dados!$N$2:$N$1028,dados!$I$2:$I$1028,E3)</f>
        <v>8</v>
      </c>
      <c r="J3" s="3"/>
      <c r="K3" s="3"/>
    </row>
    <row r="4" customFormat="false" ht="15" hidden="false" customHeight="false" outlineLevel="0" collapsed="false">
      <c r="A4" s="2" t="s">
        <v>32</v>
      </c>
      <c r="B4" s="2" t="s">
        <v>86</v>
      </c>
      <c r="C4" s="2" t="n">
        <v>4</v>
      </c>
      <c r="D4" s="2" t="s">
        <v>36</v>
      </c>
      <c r="E4" s="2" t="s">
        <v>89</v>
      </c>
      <c r="F4" s="6" t="n">
        <f aca="false">COUNTIF(dados!$I$2:$I$1028,E4)</f>
        <v>1</v>
      </c>
      <c r="G4" s="10" t="n">
        <f aca="false">SUMIFS(dados!$M$2:$M$1028,dados!$I$2:$I$1028,E4)</f>
        <v>0.0412529612494193</v>
      </c>
      <c r="H4" s="7" t="n">
        <f aca="false">SQRT(G4*40000/PI())</f>
        <v>22.9183118052329</v>
      </c>
      <c r="I4" s="11" t="n">
        <f aca="false">_xlfn.MAXIFS(dados!$N$2:$N$1028,dados!$I$2:$I$1028,E4)</f>
        <v>7</v>
      </c>
      <c r="J4" s="3"/>
      <c r="K4" s="3"/>
    </row>
    <row r="5" customFormat="false" ht="15" hidden="false" customHeight="false" outlineLevel="0" collapsed="false">
      <c r="A5" s="2" t="s">
        <v>32</v>
      </c>
      <c r="B5" s="2" t="s">
        <v>86</v>
      </c>
      <c r="C5" s="2" t="n">
        <v>5</v>
      </c>
      <c r="D5" s="2" t="s">
        <v>37</v>
      </c>
      <c r="E5" s="2" t="s">
        <v>90</v>
      </c>
      <c r="F5" s="6" t="n">
        <f aca="false">COUNTIF(dados!$I$2:$I$1028,E5)</f>
        <v>1</v>
      </c>
      <c r="G5" s="10" t="n">
        <f aca="false">SUMIFS(dados!$M$2:$M$1028,dados!$I$2:$I$1028,E5)</f>
        <v>0.00318309886183791</v>
      </c>
      <c r="H5" s="7" t="n">
        <f aca="false">SQRT(G5*40000/PI())</f>
        <v>6.36619772367581</v>
      </c>
      <c r="I5" s="11" t="n">
        <f aca="false">_xlfn.MAXIFS(dados!$N$2:$N$1028,dados!$I$2:$I$1028,E5)</f>
        <v>8</v>
      </c>
      <c r="J5" s="3"/>
      <c r="K5" s="3"/>
    </row>
    <row r="6" customFormat="false" ht="15" hidden="false" customHeight="false" outlineLevel="0" collapsed="false">
      <c r="A6" s="2" t="s">
        <v>32</v>
      </c>
      <c r="B6" s="2" t="s">
        <v>86</v>
      </c>
      <c r="C6" s="2" t="n">
        <v>6</v>
      </c>
      <c r="D6" s="2" t="s">
        <v>39</v>
      </c>
      <c r="E6" s="2" t="s">
        <v>91</v>
      </c>
      <c r="F6" s="6" t="n">
        <f aca="false">COUNTIF(dados!$I$2:$I$1028,E6)</f>
        <v>1</v>
      </c>
      <c r="G6" s="10" t="n">
        <f aca="false">SUMIFS(dados!$M$2:$M$1028,dados!$I$2:$I$1028,E6)</f>
        <v>0.0447623277445956</v>
      </c>
      <c r="H6" s="7" t="n">
        <f aca="false">SQRT(G6*40000/PI())</f>
        <v>23.8732414637843</v>
      </c>
      <c r="I6" s="11" t="n">
        <f aca="false">_xlfn.MAXIFS(dados!$N$2:$N$1028,dados!$I$2:$I$1028,E6)</f>
        <v>17</v>
      </c>
      <c r="J6" s="3"/>
      <c r="K6" s="3"/>
    </row>
    <row r="7" customFormat="false" ht="15" hidden="false" customHeight="false" outlineLevel="0" collapsed="false">
      <c r="A7" s="2" t="s">
        <v>32</v>
      </c>
      <c r="B7" s="2" t="s">
        <v>86</v>
      </c>
      <c r="C7" s="2" t="n">
        <v>7</v>
      </c>
      <c r="D7" s="2" t="s">
        <v>33</v>
      </c>
      <c r="E7" s="2" t="s">
        <v>92</v>
      </c>
      <c r="F7" s="6" t="n">
        <f aca="false">COUNTIF(dados!$I$2:$I$1028,E7)</f>
        <v>1</v>
      </c>
      <c r="G7" s="10" t="n">
        <f aca="false">SUMIFS(dados!$M$2:$M$1028,dados!$I$2:$I$1028,E7)</f>
        <v>0.00814873308630504</v>
      </c>
      <c r="H7" s="7" t="n">
        <f aca="false">SQRT(G7*40000/PI())</f>
        <v>10.1859163578813</v>
      </c>
      <c r="I7" s="11" t="n">
        <f aca="false">_xlfn.MAXIFS(dados!$N$2:$N$1028,dados!$I$2:$I$1028,E7)</f>
        <v>8</v>
      </c>
      <c r="J7" s="3"/>
      <c r="K7" s="3"/>
    </row>
    <row r="8" customFormat="false" ht="15" hidden="false" customHeight="false" outlineLevel="0" collapsed="false">
      <c r="A8" s="2" t="s">
        <v>32</v>
      </c>
      <c r="B8" s="2" t="s">
        <v>86</v>
      </c>
      <c r="C8" s="2" t="n">
        <v>8</v>
      </c>
      <c r="D8" s="2" t="s">
        <v>37</v>
      </c>
      <c r="E8" s="2" t="s">
        <v>93</v>
      </c>
      <c r="F8" s="6" t="n">
        <f aca="false">COUNTIF(dados!$I$2:$I$1028,E8)</f>
        <v>1</v>
      </c>
      <c r="G8" s="10" t="n">
        <f aca="false">SUMIFS(dados!$M$2:$M$1028,dados!$I$2:$I$1028,E8)</f>
        <v>0.0183346494441863</v>
      </c>
      <c r="H8" s="7" t="n">
        <f aca="false">SQRT(G8*40000/PI())</f>
        <v>15.278874536822</v>
      </c>
      <c r="I8" s="11" t="n">
        <f aca="false">_xlfn.MAXIFS(dados!$N$2:$N$1028,dados!$I$2:$I$1028,E8)</f>
        <v>16</v>
      </c>
      <c r="J8" s="3"/>
      <c r="K8" s="3"/>
    </row>
    <row r="9" customFormat="false" ht="15" hidden="false" customHeight="false" outlineLevel="0" collapsed="false">
      <c r="A9" s="2" t="s">
        <v>32</v>
      </c>
      <c r="B9" s="2" t="s">
        <v>86</v>
      </c>
      <c r="C9" s="2" t="n">
        <v>9</v>
      </c>
      <c r="D9" s="2" t="s">
        <v>37</v>
      </c>
      <c r="E9" s="2" t="s">
        <v>94</v>
      </c>
      <c r="F9" s="6" t="n">
        <f aca="false">COUNTIF(dados!$I$2:$I$1028,E9)</f>
        <v>1</v>
      </c>
      <c r="G9" s="10" t="n">
        <f aca="false">SUMIFS(dados!$M$2:$M$1028,dados!$I$2:$I$1028,E9)</f>
        <v>0.00458366236104659</v>
      </c>
      <c r="H9" s="7" t="n">
        <f aca="false">SQRT(G9*40000/PI())</f>
        <v>7.63943726841098</v>
      </c>
      <c r="I9" s="11" t="n">
        <f aca="false">_xlfn.MAXIFS(dados!$N$2:$N$1028,dados!$I$2:$I$1028,E9)</f>
        <v>14</v>
      </c>
      <c r="J9" s="3"/>
      <c r="K9" s="3"/>
    </row>
    <row r="10" customFormat="false" ht="15" hidden="false" customHeight="false" outlineLevel="0" collapsed="false">
      <c r="A10" s="2" t="s">
        <v>32</v>
      </c>
      <c r="B10" s="2" t="s">
        <v>86</v>
      </c>
      <c r="C10" s="2" t="n">
        <v>10</v>
      </c>
      <c r="D10" s="2" t="s">
        <v>37</v>
      </c>
      <c r="E10" s="2" t="s">
        <v>95</v>
      </c>
      <c r="F10" s="6" t="n">
        <f aca="false">COUNTIF(dados!$I$2:$I$1028,E10)</f>
        <v>3</v>
      </c>
      <c r="G10" s="10" t="n">
        <f aca="false">SUMIFS(dados!$M$2:$M$1028,dados!$I$2:$I$1028,E10)</f>
        <v>0.0185495086173604</v>
      </c>
      <c r="H10" s="7" t="n">
        <f aca="false">SQRT(G10*40000/PI())</f>
        <v>15.3681384386753</v>
      </c>
      <c r="I10" s="11" t="n">
        <f aca="false">_xlfn.MAXIFS(dados!$N$2:$N$1028,dados!$I$2:$I$1028,E10)</f>
        <v>12</v>
      </c>
      <c r="J10" s="3"/>
      <c r="K10" s="3"/>
    </row>
    <row r="11" customFormat="false" ht="15" hidden="false" customHeight="false" outlineLevel="0" collapsed="false">
      <c r="A11" s="2" t="s">
        <v>32</v>
      </c>
      <c r="B11" s="2" t="s">
        <v>86</v>
      </c>
      <c r="C11" s="2" t="n">
        <v>11</v>
      </c>
      <c r="D11" s="2" t="s">
        <v>37</v>
      </c>
      <c r="E11" s="2" t="s">
        <v>96</v>
      </c>
      <c r="F11" s="6" t="n">
        <f aca="false">COUNTIF(dados!$I$2:$I$1028,E11)</f>
        <v>1</v>
      </c>
      <c r="G11" s="10" t="n">
        <f aca="false">SUMIFS(dados!$M$2:$M$1028,dados!$I$2:$I$1028,E11)</f>
        <v>0.00350936649517629</v>
      </c>
      <c r="H11" s="7" t="n">
        <f aca="false">SQRT(G11*40000/PI())</f>
        <v>6.68450760985961</v>
      </c>
      <c r="I11" s="11" t="n">
        <f aca="false">_xlfn.MAXIFS(dados!$N$2:$N$1028,dados!$I$2:$I$1028,E11)</f>
        <v>8</v>
      </c>
      <c r="J11" s="3"/>
      <c r="K11" s="3"/>
    </row>
    <row r="12" customFormat="false" ht="15" hidden="false" customHeight="false" outlineLevel="0" collapsed="false">
      <c r="A12" s="2" t="s">
        <v>32</v>
      </c>
      <c r="B12" s="2" t="s">
        <v>86</v>
      </c>
      <c r="C12" s="2" t="n">
        <v>12</v>
      </c>
      <c r="D12" s="2" t="s">
        <v>33</v>
      </c>
      <c r="E12" s="2" t="s">
        <v>97</v>
      </c>
      <c r="F12" s="6" t="n">
        <f aca="false">COUNTIF(dados!$I$2:$I$1028,E12)</f>
        <v>1</v>
      </c>
      <c r="G12" s="10" t="n">
        <f aca="false">SUMIFS(dados!$M$2:$M$1028,dados!$I$2:$I$1028,E12)</f>
        <v>0.00458366236104659</v>
      </c>
      <c r="H12" s="7" t="n">
        <f aca="false">SQRT(G12*40000/PI())</f>
        <v>7.63943726841098</v>
      </c>
      <c r="I12" s="11" t="n">
        <f aca="false">_xlfn.MAXIFS(dados!$N$2:$N$1028,dados!$I$2:$I$1028,E12)</f>
        <v>7</v>
      </c>
      <c r="J12" s="3"/>
      <c r="K12" s="3"/>
    </row>
    <row r="13" customFormat="false" ht="15" hidden="false" customHeight="false" outlineLevel="0" collapsed="false">
      <c r="A13" s="2" t="s">
        <v>32</v>
      </c>
      <c r="B13" s="2" t="s">
        <v>86</v>
      </c>
      <c r="C13" s="2" t="n">
        <v>13</v>
      </c>
      <c r="D13" s="2" t="s">
        <v>33</v>
      </c>
      <c r="E13" s="2" t="s">
        <v>98</v>
      </c>
      <c r="F13" s="6" t="n">
        <f aca="false">COUNTIF(dados!$I$2:$I$1028,E13)</f>
        <v>1</v>
      </c>
      <c r="G13" s="10" t="n">
        <f aca="false">SUMIFS(dados!$M$2:$M$1028,dados!$I$2:$I$1028,E13)</f>
        <v>0.00497359197162173</v>
      </c>
      <c r="H13" s="7" t="n">
        <f aca="false">SQRT(G13*40000/PI())</f>
        <v>7.95774715459477</v>
      </c>
      <c r="I13" s="11" t="n">
        <f aca="false">_xlfn.MAXIFS(dados!$N$2:$N$1028,dados!$I$2:$I$1028,E13)</f>
        <v>8</v>
      </c>
      <c r="J13" s="3"/>
      <c r="K13" s="3"/>
    </row>
    <row r="14" customFormat="false" ht="15" hidden="false" customHeight="false" outlineLevel="0" collapsed="false">
      <c r="A14" s="2" t="s">
        <v>32</v>
      </c>
      <c r="B14" s="2" t="s">
        <v>86</v>
      </c>
      <c r="C14" s="2" t="n">
        <v>14</v>
      </c>
      <c r="D14" s="2" t="s">
        <v>37</v>
      </c>
      <c r="E14" s="2" t="s">
        <v>99</v>
      </c>
      <c r="F14" s="6" t="n">
        <f aca="false">COUNTIF(dados!$I$2:$I$1028,E14)</f>
        <v>3</v>
      </c>
      <c r="G14" s="10" t="n">
        <f aca="false">SUMIFS(dados!$M$2:$M$1028,dados!$I$2:$I$1028,E14)</f>
        <v>0.0143955646026619</v>
      </c>
      <c r="H14" s="7" t="n">
        <f aca="false">SQRT(G14*40000/PI())</f>
        <v>13.5384645070624</v>
      </c>
      <c r="I14" s="11" t="n">
        <f aca="false">_xlfn.MAXIFS(dados!$N$2:$N$1028,dados!$I$2:$I$1028,E14)</f>
        <v>10</v>
      </c>
      <c r="J14" s="3"/>
      <c r="K14" s="3"/>
    </row>
    <row r="15" customFormat="false" ht="15" hidden="false" customHeight="false" outlineLevel="0" collapsed="false">
      <c r="A15" s="2" t="s">
        <v>32</v>
      </c>
      <c r="B15" s="2" t="s">
        <v>86</v>
      </c>
      <c r="C15" s="2" t="n">
        <v>15</v>
      </c>
      <c r="D15" s="2" t="s">
        <v>37</v>
      </c>
      <c r="E15" s="2" t="s">
        <v>100</v>
      </c>
      <c r="F15" s="6" t="n">
        <f aca="false">COUNTIF(dados!$I$2:$I$1028,E15)</f>
        <v>1</v>
      </c>
      <c r="G15" s="10" t="n">
        <f aca="false">SUMIFS(dados!$M$2:$M$1028,dados!$I$2:$I$1028,E15)</f>
        <v>0.0133769729668738</v>
      </c>
      <c r="H15" s="7" t="n">
        <f aca="false">SQRT(G15*40000/PI())</f>
        <v>13.0507053335354</v>
      </c>
      <c r="I15" s="11" t="n">
        <f aca="false">_xlfn.MAXIFS(dados!$N$2:$N$1028,dados!$I$2:$I$1028,E15)</f>
        <v>16</v>
      </c>
      <c r="J15" s="3"/>
      <c r="K15" s="3"/>
    </row>
    <row r="16" customFormat="false" ht="15" hidden="false" customHeight="false" outlineLevel="0" collapsed="false">
      <c r="A16" s="2" t="s">
        <v>32</v>
      </c>
      <c r="B16" s="2" t="s">
        <v>86</v>
      </c>
      <c r="C16" s="2" t="n">
        <v>16</v>
      </c>
      <c r="D16" s="2" t="s">
        <v>41</v>
      </c>
      <c r="E16" s="2" t="s">
        <v>101</v>
      </c>
      <c r="F16" s="6" t="n">
        <f aca="false">COUNTIF(dados!$I$2:$I$1028,E16)</f>
        <v>1</v>
      </c>
      <c r="G16" s="10" t="n">
        <f aca="false">SUMIFS(dados!$M$2:$M$1028,dados!$I$2:$I$1028,E16)</f>
        <v>0.0286478897565412</v>
      </c>
      <c r="H16" s="7" t="n">
        <f aca="false">SQRT(G16*40000/PI())</f>
        <v>19.0985931710274</v>
      </c>
      <c r="I16" s="11" t="n">
        <f aca="false">_xlfn.MAXIFS(dados!$N$2:$N$1028,dados!$I$2:$I$1028,E16)</f>
        <v>14</v>
      </c>
      <c r="J16" s="3"/>
      <c r="K16" s="3"/>
    </row>
    <row r="17" customFormat="false" ht="15" hidden="false" customHeight="false" outlineLevel="0" collapsed="false">
      <c r="A17" s="2" t="s">
        <v>32</v>
      </c>
      <c r="B17" s="2" t="s">
        <v>86</v>
      </c>
      <c r="C17" s="2" t="n">
        <v>17</v>
      </c>
      <c r="D17" s="2" t="s">
        <v>37</v>
      </c>
      <c r="E17" s="2" t="s">
        <v>102</v>
      </c>
      <c r="F17" s="6" t="n">
        <f aca="false">COUNTIF(dados!$I$2:$I$1028,E17)</f>
        <v>4</v>
      </c>
      <c r="G17" s="10" t="n">
        <f aca="false">SUMIFS(dados!$M$2:$M$1028,dados!$I$2:$I$1028,E17)</f>
        <v>0.0250589457898189</v>
      </c>
      <c r="H17" s="7" t="n">
        <f aca="false">SQRT(G17*40000/PI())</f>
        <v>17.8622620988978</v>
      </c>
      <c r="I17" s="11" t="n">
        <f aca="false">_xlfn.MAXIFS(dados!$N$2:$N$1028,dados!$I$2:$I$1028,E17)</f>
        <v>10</v>
      </c>
      <c r="J17" s="3"/>
      <c r="K17" s="3"/>
    </row>
    <row r="18" customFormat="false" ht="15" hidden="false" customHeight="false" outlineLevel="0" collapsed="false">
      <c r="A18" s="2" t="s">
        <v>32</v>
      </c>
      <c r="B18" s="2" t="s">
        <v>86</v>
      </c>
      <c r="C18" s="2" t="n">
        <v>18</v>
      </c>
      <c r="D18" s="2" t="s">
        <v>33</v>
      </c>
      <c r="E18" s="2" t="s">
        <v>103</v>
      </c>
      <c r="F18" s="6" t="n">
        <f aca="false">COUNTIF(dados!$I$2:$I$1028,E18)</f>
        <v>1</v>
      </c>
      <c r="G18" s="10" t="n">
        <f aca="false">SUMIFS(dados!$M$2:$M$1028,dados!$I$2:$I$1028,E18)</f>
        <v>0.00350936649517629</v>
      </c>
      <c r="H18" s="7" t="n">
        <f aca="false">SQRT(G18*40000/PI())</f>
        <v>6.68450760985961</v>
      </c>
      <c r="I18" s="11" t="n">
        <f aca="false">_xlfn.MAXIFS(dados!$N$2:$N$1028,dados!$I$2:$I$1028,E18)</f>
        <v>9</v>
      </c>
      <c r="J18" s="3"/>
      <c r="K18" s="3"/>
    </row>
    <row r="19" customFormat="false" ht="15" hidden="false" customHeight="false" outlineLevel="0" collapsed="false">
      <c r="A19" s="2" t="s">
        <v>32</v>
      </c>
      <c r="B19" s="2" t="s">
        <v>86</v>
      </c>
      <c r="C19" s="2" t="n">
        <v>19</v>
      </c>
      <c r="D19" s="2" t="s">
        <v>37</v>
      </c>
      <c r="E19" s="2" t="s">
        <v>104</v>
      </c>
      <c r="F19" s="6" t="n">
        <f aca="false">COUNTIF(dados!$I$2:$I$1028,E19)</f>
        <v>1</v>
      </c>
      <c r="G19" s="10" t="n">
        <f aca="false">SUMIFS(dados!$M$2:$M$1028,dados!$I$2:$I$1028,E19)</f>
        <v>0.0121037334221386</v>
      </c>
      <c r="H19" s="7" t="n">
        <f aca="false">SQRT(G19*40000/PI())</f>
        <v>12.4140855611678</v>
      </c>
      <c r="I19" s="11" t="n">
        <f aca="false">_xlfn.MAXIFS(dados!$N$2:$N$1028,dados!$I$2:$I$1028,E19)</f>
        <v>8</v>
      </c>
      <c r="J19" s="3"/>
      <c r="K19" s="3"/>
    </row>
    <row r="20" customFormat="false" ht="15" hidden="false" customHeight="false" outlineLevel="0" collapsed="false">
      <c r="A20" s="2" t="s">
        <v>32</v>
      </c>
      <c r="B20" s="2" t="s">
        <v>86</v>
      </c>
      <c r="C20" s="2" t="n">
        <v>20</v>
      </c>
      <c r="D20" s="2" t="s">
        <v>37</v>
      </c>
      <c r="E20" s="2" t="s">
        <v>105</v>
      </c>
      <c r="F20" s="6" t="n">
        <f aca="false">COUNTIF(dados!$I$2:$I$1028,E20)</f>
        <v>2</v>
      </c>
      <c r="G20" s="10" t="n">
        <f aca="false">SUMIFS(dados!$M$2:$M$1028,dados!$I$2:$I$1028,E20)</f>
        <v>0.0122310573766122</v>
      </c>
      <c r="H20" s="7" t="n">
        <f aca="false">SQRT(G20*40000/PI())</f>
        <v>12.4792090798365</v>
      </c>
      <c r="I20" s="11" t="n">
        <f aca="false">_xlfn.MAXIFS(dados!$N$2:$N$1028,dados!$I$2:$I$1028,E20)</f>
        <v>9</v>
      </c>
      <c r="J20" s="3"/>
      <c r="K20" s="3"/>
    </row>
    <row r="21" customFormat="false" ht="15" hidden="false" customHeight="false" outlineLevel="0" collapsed="false">
      <c r="A21" s="2" t="s">
        <v>32</v>
      </c>
      <c r="B21" s="2" t="s">
        <v>86</v>
      </c>
      <c r="C21" s="2" t="n">
        <v>21</v>
      </c>
      <c r="D21" s="2" t="s">
        <v>42</v>
      </c>
      <c r="E21" s="2" t="s">
        <v>106</v>
      </c>
      <c r="F21" s="6" t="n">
        <f aca="false">COUNTIF(dados!$I$2:$I$1028,E21)</f>
        <v>2</v>
      </c>
      <c r="G21" s="10" t="n">
        <f aca="false">SUMIFS(dados!$M$2:$M$1028,dados!$I$2:$I$1028,E21)</f>
        <v>0.0376321862940787</v>
      </c>
      <c r="H21" s="7" t="n">
        <f aca="false">SQRT(G21*40000/PI())</f>
        <v>21.8894467139902</v>
      </c>
      <c r="I21" s="11" t="n">
        <f aca="false">_xlfn.MAXIFS(dados!$N$2:$N$1028,dados!$I$2:$I$1028,E21)</f>
        <v>15</v>
      </c>
      <c r="J21" s="3"/>
      <c r="K21" s="3"/>
    </row>
    <row r="22" customFormat="false" ht="15" hidden="false" customHeight="false" outlineLevel="0" collapsed="false">
      <c r="A22" s="2" t="s">
        <v>32</v>
      </c>
      <c r="B22" s="2" t="s">
        <v>86</v>
      </c>
      <c r="C22" s="2" t="n">
        <v>22</v>
      </c>
      <c r="D22" s="2" t="s">
        <v>43</v>
      </c>
      <c r="E22" s="2" t="s">
        <v>107</v>
      </c>
      <c r="F22" s="6" t="n">
        <f aca="false">COUNTIF(dados!$I$2:$I$1028,E22)</f>
        <v>1</v>
      </c>
      <c r="G22" s="10" t="n">
        <f aca="false">SUMIFS(dados!$M$2:$M$1028,dados!$I$2:$I$1028,E22)</f>
        <v>0.00420964824478063</v>
      </c>
      <c r="H22" s="7" t="n">
        <f aca="false">SQRT(G22*40000/PI())</f>
        <v>7.32112738222719</v>
      </c>
      <c r="I22" s="11" t="n">
        <f aca="false">_xlfn.MAXIFS(dados!$N$2:$N$1028,dados!$I$2:$I$1028,E22)</f>
        <v>8</v>
      </c>
      <c r="J22" s="3"/>
      <c r="K22" s="3"/>
    </row>
    <row r="23" customFormat="false" ht="15" hidden="false" customHeight="false" outlineLevel="0" collapsed="false">
      <c r="A23" s="2" t="s">
        <v>32</v>
      </c>
      <c r="B23" s="2" t="s">
        <v>86</v>
      </c>
      <c r="C23" s="2" t="n">
        <v>23</v>
      </c>
      <c r="D23" s="2" t="s">
        <v>37</v>
      </c>
      <c r="E23" s="2" t="s">
        <v>108</v>
      </c>
      <c r="F23" s="6" t="n">
        <f aca="false">COUNTIF(dados!$I$2:$I$1028,E23)</f>
        <v>1</v>
      </c>
      <c r="G23" s="10" t="n">
        <f aca="false">SUMIFS(dados!$M$2:$M$1028,dados!$I$2:$I$1028,E23)</f>
        <v>0.0357223269769759</v>
      </c>
      <c r="H23" s="7" t="n">
        <f aca="false">SQRT(G23*40000/PI())</f>
        <v>21.326762374314</v>
      </c>
      <c r="I23" s="11" t="n">
        <f aca="false">_xlfn.MAXIFS(dados!$N$2:$N$1028,dados!$I$2:$I$1028,E23)</f>
        <v>23</v>
      </c>
      <c r="J23" s="3"/>
      <c r="K23" s="3"/>
    </row>
    <row r="24" customFormat="false" ht="15" hidden="false" customHeight="false" outlineLevel="0" collapsed="false">
      <c r="A24" s="2" t="s">
        <v>32</v>
      </c>
      <c r="B24" s="2" t="s">
        <v>86</v>
      </c>
      <c r="C24" s="2" t="n">
        <v>24</v>
      </c>
      <c r="D24" s="2" t="s">
        <v>37</v>
      </c>
      <c r="E24" s="2" t="s">
        <v>109</v>
      </c>
      <c r="F24" s="6" t="n">
        <f aca="false">COUNTIF(dados!$I$2:$I$1028,E24)</f>
        <v>3</v>
      </c>
      <c r="G24" s="10" t="n">
        <f aca="false">SUMIFS(dados!$M$2:$M$1028,dados!$I$2:$I$1028,E24)</f>
        <v>0.016082606999436</v>
      </c>
      <c r="H24" s="7" t="n">
        <f aca="false">SQRT(G24*40000/PI())</f>
        <v>14.3097907790843</v>
      </c>
      <c r="I24" s="11" t="n">
        <f aca="false">_xlfn.MAXIFS(dados!$N$2:$N$1028,dados!$I$2:$I$1028,E24)</f>
        <v>10</v>
      </c>
      <c r="J24" s="3"/>
      <c r="K24" s="3"/>
    </row>
    <row r="25" customFormat="false" ht="15" hidden="false" customHeight="false" outlineLevel="0" collapsed="false">
      <c r="A25" s="2" t="s">
        <v>32</v>
      </c>
      <c r="B25" s="2" t="s">
        <v>86</v>
      </c>
      <c r="C25" s="2" t="n">
        <v>25</v>
      </c>
      <c r="D25" s="2" t="s">
        <v>37</v>
      </c>
      <c r="E25" s="2" t="s">
        <v>110</v>
      </c>
      <c r="F25" s="6" t="n">
        <f aca="false">COUNTIF(dados!$I$2:$I$1028,E25)</f>
        <v>2</v>
      </c>
      <c r="G25" s="10" t="n">
        <f aca="false">SUMIFS(dados!$M$2:$M$1028,dados!$I$2:$I$1028,E25)</f>
        <v>0.00810098660337747</v>
      </c>
      <c r="H25" s="7" t="n">
        <f aca="false">SQRT(G25*40000/PI())</f>
        <v>10.1560309643039</v>
      </c>
      <c r="I25" s="11" t="n">
        <f aca="false">_xlfn.MAXIFS(dados!$N$2:$N$1028,dados!$I$2:$I$1028,E25)</f>
        <v>11</v>
      </c>
      <c r="J25" s="3"/>
      <c r="K25" s="3"/>
    </row>
    <row r="26" customFormat="false" ht="15" hidden="false" customHeight="false" outlineLevel="0" collapsed="false">
      <c r="A26" s="2" t="s">
        <v>32</v>
      </c>
      <c r="B26" s="2" t="s">
        <v>86</v>
      </c>
      <c r="C26" s="2" t="n">
        <v>26</v>
      </c>
      <c r="D26" s="2" t="s">
        <v>37</v>
      </c>
      <c r="E26" s="2" t="s">
        <v>111</v>
      </c>
      <c r="F26" s="6" t="n">
        <f aca="false">COUNTIF(dados!$I$2:$I$1028,E26)</f>
        <v>1</v>
      </c>
      <c r="G26" s="10" t="n">
        <f aca="false">SUMIFS(dados!$M$2:$M$1028,dados!$I$2:$I$1028,E26)</f>
        <v>0.00974824026437859</v>
      </c>
      <c r="H26" s="7" t="n">
        <f aca="false">SQRT(G26*40000/PI())</f>
        <v>11.1408460164327</v>
      </c>
      <c r="I26" s="11" t="n">
        <f aca="false">_xlfn.MAXIFS(dados!$N$2:$N$1028,dados!$I$2:$I$1028,E26)</f>
        <v>9</v>
      </c>
      <c r="J26" s="3"/>
      <c r="K26" s="3"/>
    </row>
    <row r="27" customFormat="false" ht="15" hidden="false" customHeight="false" outlineLevel="0" collapsed="false">
      <c r="A27" s="2" t="s">
        <v>32</v>
      </c>
      <c r="B27" s="2" t="s">
        <v>86</v>
      </c>
      <c r="C27" s="2" t="n">
        <v>27</v>
      </c>
      <c r="D27" s="2" t="s">
        <v>33</v>
      </c>
      <c r="E27" s="2" t="s">
        <v>112</v>
      </c>
      <c r="F27" s="6" t="n">
        <f aca="false">COUNTIF(dados!$I$2:$I$1028,E27)</f>
        <v>1</v>
      </c>
      <c r="G27" s="10" t="n">
        <f aca="false">SUMIFS(dados!$M$2:$M$1028,dados!$I$2:$I$1028,E27)</f>
        <v>0.00814873308630504</v>
      </c>
      <c r="H27" s="7" t="n">
        <f aca="false">SQRT(G27*40000/PI())</f>
        <v>10.1859163578813</v>
      </c>
      <c r="I27" s="11" t="n">
        <f aca="false">_xlfn.MAXIFS(dados!$N$2:$N$1028,dados!$I$2:$I$1028,E27)</f>
        <v>6</v>
      </c>
      <c r="J27" s="3"/>
      <c r="K27" s="3"/>
    </row>
    <row r="28" customFormat="false" ht="15" hidden="false" customHeight="false" outlineLevel="0" collapsed="false">
      <c r="A28" s="2" t="s">
        <v>32</v>
      </c>
      <c r="B28" s="2" t="s">
        <v>86</v>
      </c>
      <c r="C28" s="2" t="n">
        <v>28</v>
      </c>
      <c r="D28" s="2" t="s">
        <v>33</v>
      </c>
      <c r="E28" s="2" t="s">
        <v>113</v>
      </c>
      <c r="F28" s="6" t="n">
        <f aca="false">COUNTIF(dados!$I$2:$I$1028,E28)</f>
        <v>1</v>
      </c>
      <c r="G28" s="10" t="n">
        <f aca="false">SUMIFS(dados!$M$2:$M$1028,dados!$I$2:$I$1028,E28)</f>
        <v>0.00385154962282387</v>
      </c>
      <c r="H28" s="7" t="n">
        <f aca="false">SQRT(G28*40000/PI())</f>
        <v>7.0028174960434</v>
      </c>
      <c r="I28" s="11" t="n">
        <f aca="false">_xlfn.MAXIFS(dados!$N$2:$N$1028,dados!$I$2:$I$1028,E28)</f>
        <v>6</v>
      </c>
      <c r="J28" s="3"/>
      <c r="K28" s="3"/>
    </row>
    <row r="29" customFormat="false" ht="15" hidden="false" customHeight="false" outlineLevel="0" collapsed="false">
      <c r="A29" s="2" t="s">
        <v>32</v>
      </c>
      <c r="B29" s="2" t="s">
        <v>86</v>
      </c>
      <c r="C29" s="2" t="n">
        <v>29</v>
      </c>
      <c r="D29" s="2" t="s">
        <v>37</v>
      </c>
      <c r="E29" s="2" t="s">
        <v>114</v>
      </c>
      <c r="F29" s="6" t="n">
        <f aca="false">COUNTIF(dados!$I$2:$I$1028,E29)</f>
        <v>2</v>
      </c>
      <c r="G29" s="10" t="n">
        <f aca="false">SUMIFS(dados!$M$2:$M$1028,dados!$I$2:$I$1028,E29)</f>
        <v>0.0218519736865172</v>
      </c>
      <c r="H29" s="7" t="n">
        <f aca="false">SQRT(G29*40000/PI())</f>
        <v>16.6801669740401</v>
      </c>
      <c r="I29" s="11" t="n">
        <f aca="false">_xlfn.MAXIFS(dados!$N$2:$N$1028,dados!$I$2:$I$1028,E29)</f>
        <v>15</v>
      </c>
      <c r="J29" s="3"/>
      <c r="K29" s="3"/>
    </row>
    <row r="30" customFormat="false" ht="15" hidden="false" customHeight="false" outlineLevel="0" collapsed="false">
      <c r="A30" s="2" t="s">
        <v>32</v>
      </c>
      <c r="B30" s="2" t="s">
        <v>86</v>
      </c>
      <c r="C30" s="2" t="n">
        <v>30</v>
      </c>
      <c r="D30" s="2" t="s">
        <v>37</v>
      </c>
      <c r="E30" s="2" t="s">
        <v>115</v>
      </c>
      <c r="F30" s="6" t="n">
        <f aca="false">COUNTIF(dados!$I$2:$I$1028,E30)</f>
        <v>3</v>
      </c>
      <c r="G30" s="10" t="n">
        <f aca="false">SUMIFS(dados!$M$2:$M$1028,dados!$I$2:$I$1028,E30)</f>
        <v>0.0152550012953582</v>
      </c>
      <c r="H30" s="7" t="n">
        <f aca="false">SQRT(G30*40000/PI())</f>
        <v>13.9367395413117</v>
      </c>
      <c r="I30" s="11" t="n">
        <f aca="false">_xlfn.MAXIFS(dados!$N$2:$N$1028,dados!$I$2:$I$1028,E30)</f>
        <v>12</v>
      </c>
      <c r="J30" s="3"/>
      <c r="K30" s="3"/>
    </row>
    <row r="31" customFormat="false" ht="15" hidden="false" customHeight="false" outlineLevel="0" collapsed="false">
      <c r="A31" s="2" t="s">
        <v>32</v>
      </c>
      <c r="B31" s="2" t="s">
        <v>86</v>
      </c>
      <c r="C31" s="2" t="n">
        <v>31</v>
      </c>
      <c r="D31" s="2" t="s">
        <v>37</v>
      </c>
      <c r="E31" s="2" t="s">
        <v>116</v>
      </c>
      <c r="F31" s="6" t="n">
        <f aca="false">COUNTIF(dados!$I$2:$I$1028,E31)</f>
        <v>3</v>
      </c>
      <c r="G31" s="10" t="n">
        <f aca="false">SUMIFS(dados!$M$2:$M$1028,dados!$I$2:$I$1028,E31)</f>
        <v>0.0214302130873237</v>
      </c>
      <c r="H31" s="7" t="n">
        <f aca="false">SQRT(G31*40000/PI())</f>
        <v>16.5184123797905</v>
      </c>
      <c r="I31" s="11" t="n">
        <f aca="false">_xlfn.MAXIFS(dados!$N$2:$N$1028,dados!$I$2:$I$1028,E31)</f>
        <v>11</v>
      </c>
      <c r="J31" s="3"/>
      <c r="K31" s="3"/>
    </row>
    <row r="32" customFormat="false" ht="15" hidden="false" customHeight="false" outlineLevel="0" collapsed="false">
      <c r="A32" s="2" t="s">
        <v>32</v>
      </c>
      <c r="B32" s="2" t="s">
        <v>86</v>
      </c>
      <c r="C32" s="2" t="n">
        <v>32</v>
      </c>
      <c r="D32" s="2" t="s">
        <v>37</v>
      </c>
      <c r="E32" s="2" t="s">
        <v>117</v>
      </c>
      <c r="F32" s="6" t="n">
        <f aca="false">COUNTIF(dados!$I$2:$I$1028,E32)</f>
        <v>2</v>
      </c>
      <c r="G32" s="10" t="n">
        <f aca="false">SUMIFS(dados!$M$2:$M$1028,dados!$I$2:$I$1028,E32)</f>
        <v>0.00636619772367582</v>
      </c>
      <c r="H32" s="7" t="n">
        <f aca="false">SQRT(G32*40000/PI())</f>
        <v>9.00316316157106</v>
      </c>
      <c r="I32" s="11" t="n">
        <f aca="false">_xlfn.MAXIFS(dados!$N$2:$N$1028,dados!$I$2:$I$1028,E32)</f>
        <v>7</v>
      </c>
      <c r="J32" s="3"/>
      <c r="K32" s="3"/>
    </row>
    <row r="33" customFormat="false" ht="15" hidden="false" customHeight="false" outlineLevel="0" collapsed="false">
      <c r="A33" s="2" t="s">
        <v>32</v>
      </c>
      <c r="B33" s="2" t="s">
        <v>86</v>
      </c>
      <c r="C33" s="2" t="n">
        <v>33</v>
      </c>
      <c r="D33" s="2" t="s">
        <v>37</v>
      </c>
      <c r="E33" s="2" t="s">
        <v>118</v>
      </c>
      <c r="F33" s="6" t="n">
        <f aca="false">COUNTIF(dados!$I$2:$I$1028,E33)</f>
        <v>2</v>
      </c>
      <c r="G33" s="10" t="n">
        <f aca="false">SUMIFS(dados!$M$2:$M$1028,dados!$I$2:$I$1028,E33)</f>
        <v>0.00843521198387045</v>
      </c>
      <c r="H33" s="7" t="n">
        <f aca="false">SQRT(G33*40000/PI())</f>
        <v>10.3634190623017</v>
      </c>
      <c r="I33" s="11" t="n">
        <f aca="false">_xlfn.MAXIFS(dados!$N$2:$N$1028,dados!$I$2:$I$1028,E33)</f>
        <v>9</v>
      </c>
      <c r="J33" s="3"/>
      <c r="K33" s="3"/>
    </row>
    <row r="34" customFormat="false" ht="15" hidden="false" customHeight="false" outlineLevel="0" collapsed="false">
      <c r="A34" s="2" t="s">
        <v>32</v>
      </c>
      <c r="B34" s="2" t="s">
        <v>86</v>
      </c>
      <c r="C34" s="2" t="n">
        <v>34</v>
      </c>
      <c r="D34" s="2" t="s">
        <v>44</v>
      </c>
      <c r="E34" s="2" t="s">
        <v>119</v>
      </c>
      <c r="F34" s="6" t="n">
        <f aca="false">COUNTIF(dados!$I$2:$I$1028,E34)</f>
        <v>3</v>
      </c>
      <c r="G34" s="10" t="n">
        <f aca="false">SUMIFS(dados!$M$2:$M$1028,dados!$I$2:$I$1028,E34)</f>
        <v>0.00637415547083041</v>
      </c>
      <c r="H34" s="7" t="n">
        <f aca="false">SQRT(G34*40000/PI())</f>
        <v>9.0087883812149</v>
      </c>
      <c r="I34" s="11" t="n">
        <f aca="false">_xlfn.MAXIFS(dados!$N$2:$N$1028,dados!$I$2:$I$1028,E34)</f>
        <v>9</v>
      </c>
      <c r="J34" s="3"/>
      <c r="K34" s="3"/>
    </row>
    <row r="35" customFormat="false" ht="15" hidden="false" customHeight="false" outlineLevel="0" collapsed="false">
      <c r="A35" s="2" t="s">
        <v>32</v>
      </c>
      <c r="B35" s="2" t="s">
        <v>86</v>
      </c>
      <c r="C35" s="2" t="n">
        <v>35</v>
      </c>
      <c r="D35" s="2" t="s">
        <v>37</v>
      </c>
      <c r="E35" s="2" t="s">
        <v>120</v>
      </c>
      <c r="F35" s="6" t="n">
        <f aca="false">COUNTIF(dados!$I$2:$I$1028,E35)</f>
        <v>2</v>
      </c>
      <c r="G35" s="10" t="n">
        <f aca="false">SUMIFS(dados!$M$2:$M$1028,dados!$I$2:$I$1028,E35)</f>
        <v>0.0118570432603462</v>
      </c>
      <c r="H35" s="7" t="n">
        <f aca="false">SQRT(G35*40000/PI())</f>
        <v>12.2869265329896</v>
      </c>
      <c r="I35" s="11" t="n">
        <f aca="false">_xlfn.MAXIFS(dados!$N$2:$N$1028,dados!$I$2:$I$1028,E35)</f>
        <v>7</v>
      </c>
      <c r="J35" s="3"/>
      <c r="K35" s="3"/>
    </row>
    <row r="36" customFormat="false" ht="15" hidden="false" customHeight="false" outlineLevel="0" collapsed="false">
      <c r="A36" s="2" t="s">
        <v>32</v>
      </c>
      <c r="B36" s="2" t="s">
        <v>86</v>
      </c>
      <c r="C36" s="2" t="n">
        <v>36</v>
      </c>
      <c r="D36" s="2" t="s">
        <v>37</v>
      </c>
      <c r="E36" s="2" t="s">
        <v>121</v>
      </c>
      <c r="F36" s="6" t="n">
        <f aca="false">COUNTIF(dados!$I$2:$I$1028,E36)</f>
        <v>2</v>
      </c>
      <c r="G36" s="10" t="n">
        <f aca="false">SUMIFS(dados!$M$2:$M$1028,dados!$I$2:$I$1028,E36)</f>
        <v>0.0127085222058878</v>
      </c>
      <c r="H36" s="7" t="n">
        <f aca="false">SQRT(G36*40000/PI())</f>
        <v>12.720453226077</v>
      </c>
      <c r="I36" s="11" t="n">
        <f aca="false">_xlfn.MAXIFS(dados!$N$2:$N$1028,dados!$I$2:$I$1028,E36)</f>
        <v>11</v>
      </c>
      <c r="J36" s="3"/>
      <c r="K36" s="3"/>
    </row>
    <row r="37" customFormat="false" ht="15" hidden="false" customHeight="false" outlineLevel="0" collapsed="false">
      <c r="A37" s="2" t="s">
        <v>32</v>
      </c>
      <c r="B37" s="2" t="s">
        <v>86</v>
      </c>
      <c r="C37" s="2" t="n">
        <v>37</v>
      </c>
      <c r="D37" s="2" t="s">
        <v>37</v>
      </c>
      <c r="E37" s="2" t="s">
        <v>122</v>
      </c>
      <c r="F37" s="6" t="n">
        <f aca="false">COUNTIF(dados!$I$2:$I$1028,E37)</f>
        <v>1</v>
      </c>
      <c r="G37" s="10" t="n">
        <f aca="false">SUMIFS(dados!$M$2:$M$1028,dados!$I$2:$I$1028,E37)</f>
        <v>0.00580119767569958</v>
      </c>
      <c r="H37" s="7" t="n">
        <f aca="false">SQRT(G37*40000/PI())</f>
        <v>8.59436692696235</v>
      </c>
      <c r="I37" s="11" t="n">
        <f aca="false">_xlfn.MAXIFS(dados!$N$2:$N$1028,dados!$I$2:$I$1028,E37)</f>
        <v>10</v>
      </c>
      <c r="J37" s="3"/>
      <c r="K37" s="3"/>
    </row>
    <row r="38" customFormat="false" ht="15" hidden="false" customHeight="false" outlineLevel="0" collapsed="false">
      <c r="A38" s="2" t="s">
        <v>32</v>
      </c>
      <c r="B38" s="2" t="s">
        <v>86</v>
      </c>
      <c r="C38" s="2" t="n">
        <v>38</v>
      </c>
      <c r="D38" s="2" t="s">
        <v>37</v>
      </c>
      <c r="E38" s="2" t="s">
        <v>123</v>
      </c>
      <c r="F38" s="6" t="n">
        <f aca="false">COUNTIF(dados!$I$2:$I$1028,E38)</f>
        <v>1</v>
      </c>
      <c r="G38" s="10" t="n">
        <f aca="false">SUMIFS(dados!$M$2:$M$1028,dados!$I$2:$I$1028,E38)</f>
        <v>0.0086659866513537</v>
      </c>
      <c r="H38" s="7" t="n">
        <f aca="false">SQRT(G38*40000/PI())</f>
        <v>10.5042262440651</v>
      </c>
      <c r="I38" s="11" t="n">
        <f aca="false">_xlfn.MAXIFS(dados!$N$2:$N$1028,dados!$I$2:$I$1028,E38)</f>
        <v>9</v>
      </c>
      <c r="J38" s="3"/>
      <c r="K38" s="3"/>
    </row>
    <row r="39" customFormat="false" ht="15" hidden="false" customHeight="false" outlineLevel="0" collapsed="false">
      <c r="A39" s="2" t="s">
        <v>32</v>
      </c>
      <c r="B39" s="2" t="s">
        <v>86</v>
      </c>
      <c r="C39" s="2" t="n">
        <v>39</v>
      </c>
      <c r="D39" s="2" t="s">
        <v>37</v>
      </c>
      <c r="E39" s="2" t="s">
        <v>124</v>
      </c>
      <c r="F39" s="6" t="n">
        <f aca="false">COUNTIF(dados!$I$2:$I$1028,E39)</f>
        <v>3</v>
      </c>
      <c r="G39" s="10" t="n">
        <f aca="false">SUMIFS(dados!$M$2:$M$1028,dados!$I$2:$I$1028,E39)</f>
        <v>0.0278998615240093</v>
      </c>
      <c r="H39" s="7" t="n">
        <f aca="false">SQRT(G39*40000/PI())</f>
        <v>18.8476011696459</v>
      </c>
      <c r="I39" s="11" t="n">
        <f aca="false">_xlfn.MAXIFS(dados!$N$2:$N$1028,dados!$I$2:$I$1028,E39)</f>
        <v>12</v>
      </c>
      <c r="J39" s="3"/>
      <c r="K39" s="3"/>
    </row>
    <row r="40" customFormat="false" ht="15" hidden="false" customHeight="false" outlineLevel="0" collapsed="false">
      <c r="A40" s="2" t="s">
        <v>32</v>
      </c>
      <c r="B40" s="2" t="s">
        <v>86</v>
      </c>
      <c r="C40" s="2" t="n">
        <v>40</v>
      </c>
      <c r="D40" s="2" t="s">
        <v>33</v>
      </c>
      <c r="E40" s="2" t="s">
        <v>125</v>
      </c>
      <c r="F40" s="6" t="n">
        <f aca="false">COUNTIF(dados!$I$2:$I$1028,E40)</f>
        <v>1</v>
      </c>
      <c r="G40" s="10" t="n">
        <f aca="false">SUMIFS(dados!$M$2:$M$1028,dados!$I$2:$I$1028,E40)</f>
        <v>0.00814873308630504</v>
      </c>
      <c r="H40" s="7" t="n">
        <f aca="false">SQRT(G40*40000/PI())</f>
        <v>10.1859163578813</v>
      </c>
      <c r="I40" s="11" t="n">
        <f aca="false">_xlfn.MAXIFS(dados!$N$2:$N$1028,dados!$I$2:$I$1028,E40)</f>
        <v>6</v>
      </c>
      <c r="J40" s="3"/>
      <c r="K40" s="3"/>
    </row>
    <row r="41" customFormat="false" ht="15" hidden="false" customHeight="false" outlineLevel="0" collapsed="false">
      <c r="A41" s="2" t="s">
        <v>32</v>
      </c>
      <c r="B41" s="2" t="s">
        <v>86</v>
      </c>
      <c r="C41" s="2" t="n">
        <v>41</v>
      </c>
      <c r="D41" s="2" t="s">
        <v>37</v>
      </c>
      <c r="E41" s="2" t="s">
        <v>126</v>
      </c>
      <c r="F41" s="6" t="n">
        <f aca="false">COUNTIF(dados!$I$2:$I$1028,E41)</f>
        <v>2</v>
      </c>
      <c r="G41" s="10" t="n">
        <f aca="false">SUMIFS(dados!$M$2:$M$1028,dados!$I$2:$I$1028,E41)</f>
        <v>0.0154380294799138</v>
      </c>
      <c r="H41" s="7" t="n">
        <f aca="false">SQRT(G41*40000/PI())</f>
        <v>14.020096157521</v>
      </c>
      <c r="I41" s="11" t="n">
        <f aca="false">_xlfn.MAXIFS(dados!$N$2:$N$1028,dados!$I$2:$I$1028,E41)</f>
        <v>9</v>
      </c>
      <c r="J41" s="3"/>
      <c r="K41" s="3"/>
    </row>
    <row r="42" customFormat="false" ht="15" hidden="false" customHeight="false" outlineLevel="0" collapsed="false">
      <c r="A42" s="2" t="s">
        <v>32</v>
      </c>
      <c r="B42" s="2" t="s">
        <v>86</v>
      </c>
      <c r="C42" s="2" t="n">
        <v>42</v>
      </c>
      <c r="D42" s="2" t="s">
        <v>37</v>
      </c>
      <c r="E42" s="2" t="s">
        <v>127</v>
      </c>
      <c r="F42" s="6" t="n">
        <f aca="false">COUNTIF(dados!$I$2:$I$1028,E42)</f>
        <v>1</v>
      </c>
      <c r="G42" s="10" t="n">
        <f aca="false">SUMIFS(dados!$M$2:$M$1028,dados!$I$2:$I$1028,E42)</f>
        <v>0.00318309886183791</v>
      </c>
      <c r="H42" s="7" t="n">
        <f aca="false">SQRT(G42*40000/PI())</f>
        <v>6.36619772367581</v>
      </c>
      <c r="I42" s="11" t="n">
        <f aca="false">_xlfn.MAXIFS(dados!$N$2:$N$1028,dados!$I$2:$I$1028,E42)</f>
        <v>8</v>
      </c>
      <c r="J42" s="3"/>
      <c r="K42" s="3"/>
    </row>
    <row r="43" customFormat="false" ht="15" hidden="false" customHeight="false" outlineLevel="0" collapsed="false">
      <c r="A43" s="2" t="s">
        <v>32</v>
      </c>
      <c r="B43" s="2" t="s">
        <v>86</v>
      </c>
      <c r="C43" s="2" t="n">
        <v>43</v>
      </c>
      <c r="D43" s="2" t="s">
        <v>33</v>
      </c>
      <c r="E43" s="2" t="s">
        <v>128</v>
      </c>
      <c r="F43" s="6" t="n">
        <f aca="false">COUNTIF(dados!$I$2:$I$1028,E43)</f>
        <v>1</v>
      </c>
      <c r="G43" s="10" t="n">
        <f aca="false">SUMIFS(dados!$M$2:$M$1028,dados!$I$2:$I$1028,E43)</f>
        <v>0.00580119767569958</v>
      </c>
      <c r="H43" s="7" t="n">
        <f aca="false">SQRT(G43*40000/PI())</f>
        <v>8.59436692696235</v>
      </c>
      <c r="I43" s="11" t="n">
        <f aca="false">_xlfn.MAXIFS(dados!$N$2:$N$1028,dados!$I$2:$I$1028,E43)</f>
        <v>5</v>
      </c>
      <c r="J43" s="3"/>
      <c r="K43" s="3"/>
    </row>
    <row r="44" customFormat="false" ht="15" hidden="false" customHeight="false" outlineLevel="0" collapsed="false">
      <c r="A44" s="2" t="s">
        <v>32</v>
      </c>
      <c r="B44" s="2" t="s">
        <v>86</v>
      </c>
      <c r="C44" s="2" t="n">
        <v>44</v>
      </c>
      <c r="D44" s="2" t="s">
        <v>37</v>
      </c>
      <c r="E44" s="2" t="s">
        <v>129</v>
      </c>
      <c r="F44" s="6" t="n">
        <f aca="false">COUNTIF(dados!$I$2:$I$1028,E44)</f>
        <v>2</v>
      </c>
      <c r="G44" s="10" t="n">
        <f aca="false">SUMIFS(dados!$M$2:$M$1028,dados!$I$2:$I$1028,E44)</f>
        <v>0.0110135220619592</v>
      </c>
      <c r="H44" s="7" t="n">
        <f aca="false">SQRT(G44*40000/PI())</f>
        <v>11.8418122836412</v>
      </c>
      <c r="I44" s="11" t="n">
        <f aca="false">_xlfn.MAXIFS(dados!$N$2:$N$1028,dados!$I$2:$I$1028,E44)</f>
        <v>9</v>
      </c>
      <c r="J44" s="3"/>
      <c r="K44" s="3"/>
    </row>
    <row r="45" customFormat="false" ht="15" hidden="false" customHeight="false" outlineLevel="0" collapsed="false">
      <c r="A45" s="2" t="s">
        <v>32</v>
      </c>
      <c r="B45" s="2" t="s">
        <v>86</v>
      </c>
      <c r="C45" s="2" t="n">
        <v>45</v>
      </c>
      <c r="D45" s="2" t="s">
        <v>45</v>
      </c>
      <c r="E45" s="2" t="s">
        <v>130</v>
      </c>
      <c r="F45" s="6" t="n">
        <f aca="false">COUNTIF(dados!$I$2:$I$1028,E45)</f>
        <v>2</v>
      </c>
      <c r="G45" s="10" t="n">
        <f aca="false">SUMIFS(dados!$M$2:$M$1028,dados!$I$2:$I$1028,E45)</f>
        <v>0.0088251415944456</v>
      </c>
      <c r="H45" s="7" t="n">
        <f aca="false">SQRT(G45*40000/PI())</f>
        <v>10.6002449339321</v>
      </c>
      <c r="I45" s="11" t="n">
        <f aca="false">_xlfn.MAXIFS(dados!$N$2:$N$1028,dados!$I$2:$I$1028,E45)</f>
        <v>8</v>
      </c>
      <c r="J45" s="3"/>
      <c r="K45" s="3"/>
    </row>
    <row r="46" customFormat="false" ht="15" hidden="false" customHeight="false" outlineLevel="0" collapsed="false">
      <c r="A46" s="2" t="s">
        <v>32</v>
      </c>
      <c r="B46" s="2" t="s">
        <v>86</v>
      </c>
      <c r="C46" s="2" t="n">
        <v>46</v>
      </c>
      <c r="D46" s="2" t="s">
        <v>37</v>
      </c>
      <c r="E46" s="2" t="s">
        <v>131</v>
      </c>
      <c r="F46" s="6" t="n">
        <f aca="false">COUNTIF(dados!$I$2:$I$1028,E46)</f>
        <v>2</v>
      </c>
      <c r="G46" s="10" t="n">
        <f aca="false">SUMIFS(dados!$M$2:$M$1028,dados!$I$2:$I$1028,E46)</f>
        <v>0.00600014135456446</v>
      </c>
      <c r="H46" s="7" t="n">
        <f aca="false">SQRT(G46*40000/PI())</f>
        <v>8.74049040193528</v>
      </c>
      <c r="I46" s="11" t="n">
        <f aca="false">_xlfn.MAXIFS(dados!$N$2:$N$1028,dados!$I$2:$I$1028,E46)</f>
        <v>6</v>
      </c>
      <c r="J46" s="3"/>
      <c r="K46" s="3"/>
    </row>
    <row r="47" customFormat="false" ht="15" hidden="false" customHeight="false" outlineLevel="0" collapsed="false">
      <c r="A47" s="2" t="s">
        <v>32</v>
      </c>
      <c r="B47" s="2" t="s">
        <v>86</v>
      </c>
      <c r="C47" s="2" t="n">
        <v>47</v>
      </c>
      <c r="D47" s="2" t="s">
        <v>33</v>
      </c>
      <c r="E47" s="2" t="s">
        <v>132</v>
      </c>
      <c r="F47" s="6" t="n">
        <f aca="false">COUNTIF(dados!$I$2:$I$1028,E47)</f>
        <v>2</v>
      </c>
      <c r="G47" s="10" t="n">
        <f aca="false">SUMIFS(dados!$M$2:$M$1028,dados!$I$2:$I$1028,E47)</f>
        <v>0.00522028213341417</v>
      </c>
      <c r="H47" s="7" t="n">
        <f aca="false">SQRT(G47*40000/PI())</f>
        <v>8.15271098895169</v>
      </c>
      <c r="I47" s="11" t="n">
        <f aca="false">_xlfn.MAXIFS(dados!$N$2:$N$1028,dados!$I$2:$I$1028,E47)</f>
        <v>6</v>
      </c>
      <c r="J47" s="3"/>
      <c r="K47" s="3"/>
    </row>
    <row r="48" customFormat="false" ht="15" hidden="false" customHeight="false" outlineLevel="0" collapsed="false">
      <c r="A48" s="2" t="s">
        <v>32</v>
      </c>
      <c r="B48" s="2" t="s">
        <v>86</v>
      </c>
      <c r="C48" s="2" t="n">
        <v>48</v>
      </c>
      <c r="D48" s="2" t="s">
        <v>42</v>
      </c>
      <c r="E48" s="2" t="s">
        <v>133</v>
      </c>
      <c r="F48" s="6" t="n">
        <f aca="false">COUNTIF(dados!$I$2:$I$1028,E48)</f>
        <v>1</v>
      </c>
      <c r="G48" s="10" t="n">
        <f aca="false">SUMIFS(dados!$M$2:$M$1028,dados!$I$2:$I$1028,E48)</f>
        <v>0.0367966228428462</v>
      </c>
      <c r="H48" s="7" t="n">
        <f aca="false">SQRT(G48*40000/PI())</f>
        <v>21.6450722604978</v>
      </c>
      <c r="I48" s="11" t="n">
        <f aca="false">_xlfn.MAXIFS(dados!$N$2:$N$1028,dados!$I$2:$I$1028,E48)</f>
        <v>16</v>
      </c>
      <c r="J48" s="3"/>
      <c r="K48" s="3"/>
    </row>
    <row r="49" customFormat="false" ht="15" hidden="false" customHeight="false" outlineLevel="0" collapsed="false">
      <c r="A49" s="2" t="s">
        <v>32</v>
      </c>
      <c r="B49" s="2" t="s">
        <v>134</v>
      </c>
      <c r="C49" s="2" t="n">
        <v>49</v>
      </c>
      <c r="D49" s="2" t="s">
        <v>33</v>
      </c>
      <c r="E49" s="2" t="s">
        <v>135</v>
      </c>
      <c r="F49" s="6" t="n">
        <f aca="false">COUNTIF(dados!$I$2:$I$1028,E49)</f>
        <v>2</v>
      </c>
      <c r="G49" s="10" t="n">
        <f aca="false">SUMIFS(dados!$M$2:$M$1028,dados!$I$2:$I$1028,E49)</f>
        <v>0.0129313391262165</v>
      </c>
      <c r="H49" s="7" t="n">
        <f aca="false">SQRT(G49*40000/PI())</f>
        <v>12.8314817312265</v>
      </c>
      <c r="I49" s="11" t="n">
        <f aca="false">_xlfn.MAXIFS(dados!$N$2:$N$1028,dados!$I$2:$I$1028,E49)</f>
        <v>11</v>
      </c>
      <c r="J49" s="3"/>
      <c r="K49" s="3"/>
    </row>
    <row r="50" customFormat="false" ht="15" hidden="false" customHeight="false" outlineLevel="0" collapsed="false">
      <c r="A50" s="2" t="s">
        <v>32</v>
      </c>
      <c r="B50" s="2" t="s">
        <v>134</v>
      </c>
      <c r="C50" s="2" t="n">
        <v>50</v>
      </c>
      <c r="D50" s="2" t="s">
        <v>37</v>
      </c>
      <c r="E50" s="2" t="s">
        <v>136</v>
      </c>
      <c r="F50" s="6" t="n">
        <f aca="false">COUNTIF(dados!$I$2:$I$1028,E50)</f>
        <v>1</v>
      </c>
      <c r="G50" s="10" t="n">
        <f aca="false">SUMIFS(dados!$M$2:$M$1028,dados!$I$2:$I$1028,E50)</f>
        <v>0.0154061984912955</v>
      </c>
      <c r="H50" s="7" t="n">
        <f aca="false">SQRT(G50*40000/PI())</f>
        <v>14.0056349920868</v>
      </c>
      <c r="I50" s="11" t="n">
        <f aca="false">_xlfn.MAXIFS(dados!$N$2:$N$1028,dados!$I$2:$I$1028,E50)</f>
        <v>17</v>
      </c>
      <c r="J50" s="3"/>
      <c r="K50" s="3"/>
    </row>
    <row r="51" customFormat="false" ht="15" hidden="false" customHeight="false" outlineLevel="0" collapsed="false">
      <c r="A51" s="2" t="s">
        <v>32</v>
      </c>
      <c r="B51" s="2" t="s">
        <v>134</v>
      </c>
      <c r="C51" s="2" t="n">
        <v>51</v>
      </c>
      <c r="D51" s="2" t="s">
        <v>33</v>
      </c>
      <c r="E51" s="2" t="s">
        <v>137</v>
      </c>
      <c r="F51" s="6" t="n">
        <f aca="false">COUNTIF(dados!$I$2:$I$1028,E51)</f>
        <v>2</v>
      </c>
      <c r="G51" s="10" t="n">
        <f aca="false">SUMIFS(dados!$M$2:$M$1028,dados!$I$2:$I$1028,E51)</f>
        <v>0.0116183108457084</v>
      </c>
      <c r="H51" s="7" t="n">
        <f aca="false">SQRT(G51*40000/PI())</f>
        <v>12.1626036734662</v>
      </c>
      <c r="I51" s="11" t="n">
        <f aca="false">_xlfn.MAXIFS(dados!$N$2:$N$1028,dados!$I$2:$I$1028,E51)</f>
        <v>12</v>
      </c>
      <c r="J51" s="3"/>
      <c r="K51" s="3"/>
    </row>
    <row r="52" customFormat="false" ht="15" hidden="false" customHeight="false" outlineLevel="0" collapsed="false">
      <c r="A52" s="2" t="s">
        <v>32</v>
      </c>
      <c r="B52" s="2" t="s">
        <v>134</v>
      </c>
      <c r="C52" s="2" t="n">
        <v>52</v>
      </c>
      <c r="D52" s="2" t="s">
        <v>37</v>
      </c>
      <c r="E52" s="2" t="s">
        <v>138</v>
      </c>
      <c r="F52" s="6" t="n">
        <f aca="false">COUNTIF(dados!$I$2:$I$1028,E52)</f>
        <v>3</v>
      </c>
      <c r="G52" s="10" t="n">
        <f aca="false">SUMIFS(dados!$M$2:$M$1028,dados!$I$2:$I$1028,E52)</f>
        <v>0.0183744381799593</v>
      </c>
      <c r="H52" s="7" t="n">
        <f aca="false">SQRT(G52*40000/PI())</f>
        <v>15.295444191986</v>
      </c>
      <c r="I52" s="11" t="n">
        <f aca="false">_xlfn.MAXIFS(dados!$N$2:$N$1028,dados!$I$2:$I$1028,E52)</f>
        <v>10</v>
      </c>
      <c r="J52" s="3"/>
      <c r="K52" s="3"/>
    </row>
    <row r="53" customFormat="false" ht="15" hidden="false" customHeight="false" outlineLevel="0" collapsed="false">
      <c r="A53" s="2" t="s">
        <v>32</v>
      </c>
      <c r="B53" s="2" t="s">
        <v>134</v>
      </c>
      <c r="C53" s="2" t="n">
        <v>53</v>
      </c>
      <c r="D53" s="2" t="s">
        <v>33</v>
      </c>
      <c r="E53" s="2" t="s">
        <v>139</v>
      </c>
      <c r="F53" s="6" t="n">
        <f aca="false">COUNTIF(dados!$I$2:$I$1028,E53)</f>
        <v>1</v>
      </c>
      <c r="G53" s="10" t="n">
        <f aca="false">SUMIFS(dados!$M$2:$M$1028,dados!$I$2:$I$1028,E53)</f>
        <v>0.00179049310978382</v>
      </c>
      <c r="H53" s="7" t="n">
        <f aca="false">SQRT(G53*40000/PI())</f>
        <v>4.77464829275686</v>
      </c>
      <c r="I53" s="11" t="n">
        <f aca="false">_xlfn.MAXIFS(dados!$N$2:$N$1028,dados!$I$2:$I$1028,E53)</f>
        <v>3</v>
      </c>
      <c r="J53" s="3"/>
      <c r="K53" s="3"/>
    </row>
    <row r="54" customFormat="false" ht="15" hidden="false" customHeight="false" outlineLevel="0" collapsed="false">
      <c r="A54" s="2" t="s">
        <v>32</v>
      </c>
      <c r="B54" s="2" t="s">
        <v>134</v>
      </c>
      <c r="C54" s="2" t="n">
        <v>54</v>
      </c>
      <c r="D54" s="2" t="s">
        <v>37</v>
      </c>
      <c r="E54" s="2" t="s">
        <v>140</v>
      </c>
      <c r="F54" s="6" t="n">
        <f aca="false">COUNTIF(dados!$I$2:$I$1028,E54)</f>
        <v>5</v>
      </c>
      <c r="G54" s="10" t="n">
        <f aca="false">SUMIFS(dados!$M$2:$M$1028,dados!$I$2:$I$1028,E54)</f>
        <v>0.0579483147797591</v>
      </c>
      <c r="H54" s="7" t="n">
        <f aca="false">SQRT(G54*40000/PI())</f>
        <v>27.1628580838524</v>
      </c>
      <c r="I54" s="11" t="n">
        <f aca="false">_xlfn.MAXIFS(dados!$N$2:$N$1028,dados!$I$2:$I$1028,E54)</f>
        <v>4</v>
      </c>
      <c r="J54" s="3"/>
      <c r="K54" s="3"/>
    </row>
    <row r="55" customFormat="false" ht="15" hidden="false" customHeight="false" outlineLevel="0" collapsed="false">
      <c r="A55" s="2" t="s">
        <v>32</v>
      </c>
      <c r="B55" s="2" t="s">
        <v>134</v>
      </c>
      <c r="C55" s="2" t="n">
        <v>55</v>
      </c>
      <c r="D55" s="2" t="s">
        <v>37</v>
      </c>
      <c r="E55" s="2" t="s">
        <v>141</v>
      </c>
      <c r="F55" s="6" t="n">
        <f aca="false">COUNTIF(dados!$I$2:$I$1028,E55)</f>
        <v>1</v>
      </c>
      <c r="G55" s="10" t="n">
        <f aca="false">SUMIFS(dados!$M$2:$M$1028,dados!$I$2:$I$1028,E55)</f>
        <v>0.00350936649517629</v>
      </c>
      <c r="H55" s="7" t="n">
        <f aca="false">SQRT(G55*40000/PI())</f>
        <v>6.68450760985961</v>
      </c>
      <c r="I55" s="11" t="n">
        <f aca="false">_xlfn.MAXIFS(dados!$N$2:$N$1028,dados!$I$2:$I$1028,E55)</f>
        <v>7</v>
      </c>
      <c r="J55" s="3"/>
      <c r="K55" s="3"/>
    </row>
    <row r="56" customFormat="false" ht="15" hidden="false" customHeight="false" outlineLevel="0" collapsed="false">
      <c r="A56" s="2" t="s">
        <v>32</v>
      </c>
      <c r="B56" s="2" t="s">
        <v>134</v>
      </c>
      <c r="C56" s="2" t="n">
        <v>56</v>
      </c>
      <c r="D56" s="2" t="s">
        <v>37</v>
      </c>
      <c r="E56" s="2" t="s">
        <v>142</v>
      </c>
      <c r="F56" s="6" t="n">
        <f aca="false">COUNTIF(dados!$I$2:$I$1028,E56)</f>
        <v>1</v>
      </c>
      <c r="G56" s="10" t="n">
        <f aca="false">SUMIFS(dados!$M$2:$M$1028,dados!$I$2:$I$1028,E56)</f>
        <v>0.00203718327157626</v>
      </c>
      <c r="H56" s="7" t="n">
        <f aca="false">SQRT(G56*40000/PI())</f>
        <v>5.09295817894065</v>
      </c>
      <c r="I56" s="11" t="n">
        <f aca="false">_xlfn.MAXIFS(dados!$N$2:$N$1028,dados!$I$2:$I$1028,E56)</f>
        <v>5</v>
      </c>
      <c r="J56" s="3"/>
      <c r="K56" s="3"/>
    </row>
    <row r="57" customFormat="false" ht="15" hidden="false" customHeight="false" outlineLevel="0" collapsed="false">
      <c r="A57" s="2" t="s">
        <v>32</v>
      </c>
      <c r="B57" s="2" t="s">
        <v>134</v>
      </c>
      <c r="C57" s="2" t="n">
        <v>57</v>
      </c>
      <c r="D57" s="2" t="s">
        <v>33</v>
      </c>
      <c r="E57" s="2" t="s">
        <v>143</v>
      </c>
      <c r="F57" s="6" t="n">
        <f aca="false">COUNTIF(dados!$I$2:$I$1028,E57)</f>
        <v>1</v>
      </c>
      <c r="G57" s="10" t="n">
        <f aca="false">SUMIFS(dados!$M$2:$M$1028,dados!$I$2:$I$1028,E57)</f>
        <v>0.00350936649517629</v>
      </c>
      <c r="H57" s="7" t="n">
        <f aca="false">SQRT(G57*40000/PI())</f>
        <v>6.68450760985961</v>
      </c>
      <c r="I57" s="11" t="n">
        <f aca="false">_xlfn.MAXIFS(dados!$N$2:$N$1028,dados!$I$2:$I$1028,E57)</f>
        <v>8</v>
      </c>
      <c r="J57" s="3"/>
      <c r="K57" s="3"/>
    </row>
    <row r="58" customFormat="false" ht="15" hidden="false" customHeight="false" outlineLevel="0" collapsed="false">
      <c r="A58" s="2" t="s">
        <v>32</v>
      </c>
      <c r="B58" s="2" t="s">
        <v>134</v>
      </c>
      <c r="C58" s="2" t="n">
        <v>58</v>
      </c>
      <c r="D58" s="2" t="s">
        <v>37</v>
      </c>
      <c r="E58" s="2" t="s">
        <v>144</v>
      </c>
      <c r="F58" s="6" t="n">
        <f aca="false">COUNTIF(dados!$I$2:$I$1028,E58)</f>
        <v>1</v>
      </c>
      <c r="G58" s="10" t="n">
        <f aca="false">SUMIFS(dados!$M$2:$M$1028,dados!$I$2:$I$1028,E58)</f>
        <v>0.0062388737692023</v>
      </c>
      <c r="H58" s="7" t="n">
        <f aca="false">SQRT(G58*40000/PI())</f>
        <v>8.91267681314614</v>
      </c>
      <c r="I58" s="11" t="n">
        <f aca="false">_xlfn.MAXIFS(dados!$N$2:$N$1028,dados!$I$2:$I$1028,E58)</f>
        <v>8</v>
      </c>
      <c r="J58" s="3"/>
      <c r="K58" s="3"/>
    </row>
    <row r="59" customFormat="false" ht="15" hidden="false" customHeight="false" outlineLevel="0" collapsed="false">
      <c r="A59" s="2" t="s">
        <v>32</v>
      </c>
      <c r="B59" s="2" t="s">
        <v>134</v>
      </c>
      <c r="C59" s="2" t="n">
        <v>59</v>
      </c>
      <c r="D59" s="2" t="s">
        <v>37</v>
      </c>
      <c r="E59" s="2" t="s">
        <v>145</v>
      </c>
      <c r="F59" s="6" t="n">
        <f aca="false">COUNTIF(dados!$I$2:$I$1028,E59)</f>
        <v>3</v>
      </c>
      <c r="G59" s="10" t="n">
        <f aca="false">SUMIFS(dados!$M$2:$M$1028,dados!$I$2:$I$1028,E59)</f>
        <v>0.0118092967774186</v>
      </c>
      <c r="H59" s="7" t="n">
        <f aca="false">SQRT(G59*40000/PI())</f>
        <v>12.2621627996544</v>
      </c>
      <c r="I59" s="11" t="n">
        <f aca="false">_xlfn.MAXIFS(dados!$N$2:$N$1028,dados!$I$2:$I$1028,E59)</f>
        <v>7</v>
      </c>
      <c r="J59" s="3"/>
      <c r="K59" s="3"/>
    </row>
    <row r="60" customFormat="false" ht="15" hidden="false" customHeight="false" outlineLevel="0" collapsed="false">
      <c r="A60" s="2" t="s">
        <v>32</v>
      </c>
      <c r="B60" s="2" t="s">
        <v>134</v>
      </c>
      <c r="C60" s="2" t="n">
        <v>60</v>
      </c>
      <c r="D60" s="2" t="s">
        <v>37</v>
      </c>
      <c r="E60" s="2" t="s">
        <v>146</v>
      </c>
      <c r="F60" s="6" t="n">
        <f aca="false">COUNTIF(dados!$I$2:$I$1028,E60)</f>
        <v>1</v>
      </c>
      <c r="G60" s="10" t="n">
        <f aca="false">SUMIFS(dados!$M$2:$M$1028,dados!$I$2:$I$1028,E60)</f>
        <v>0.00716197243913529</v>
      </c>
      <c r="H60" s="7" t="n">
        <f aca="false">SQRT(G60*40000/PI())</f>
        <v>9.54929658551372</v>
      </c>
      <c r="I60" s="11" t="n">
        <f aca="false">_xlfn.MAXIFS(dados!$N$2:$N$1028,dados!$I$2:$I$1028,E60)</f>
        <v>8</v>
      </c>
      <c r="J60" s="3"/>
      <c r="K60" s="3"/>
    </row>
    <row r="61" customFormat="false" ht="15" hidden="false" customHeight="false" outlineLevel="0" collapsed="false">
      <c r="A61" s="2" t="s">
        <v>32</v>
      </c>
      <c r="B61" s="2" t="s">
        <v>134</v>
      </c>
      <c r="C61" s="2" t="n">
        <v>61</v>
      </c>
      <c r="D61" s="2" t="s">
        <v>37</v>
      </c>
      <c r="E61" s="2" t="s">
        <v>147</v>
      </c>
      <c r="F61" s="6" t="n">
        <f aca="false">COUNTIF(dados!$I$2:$I$1028,E61)</f>
        <v>2</v>
      </c>
      <c r="G61" s="10" t="n">
        <f aca="false">SUMIFS(dados!$M$2:$M$1028,dados!$I$2:$I$1028,E61)</f>
        <v>0.00554654976675255</v>
      </c>
      <c r="H61" s="7" t="n">
        <f aca="false">SQRT(G61*40000/PI())</f>
        <v>8.40362213564541</v>
      </c>
      <c r="I61" s="11" t="n">
        <f aca="false">_xlfn.MAXIFS(dados!$N$2:$N$1028,dados!$I$2:$I$1028,E61)</f>
        <v>7</v>
      </c>
      <c r="J61" s="3"/>
      <c r="K61" s="3"/>
    </row>
    <row r="62" customFormat="false" ht="15" hidden="false" customHeight="false" outlineLevel="0" collapsed="false">
      <c r="A62" s="2" t="s">
        <v>32</v>
      </c>
      <c r="B62" s="2" t="s">
        <v>134</v>
      </c>
      <c r="C62" s="2" t="n">
        <v>62</v>
      </c>
      <c r="D62" s="2" t="s">
        <v>37</v>
      </c>
      <c r="E62" s="2" t="s">
        <v>148</v>
      </c>
      <c r="F62" s="6" t="n">
        <f aca="false">COUNTIF(dados!$I$2:$I$1028,E62)</f>
        <v>3</v>
      </c>
      <c r="G62" s="10" t="n">
        <f aca="false">SUMIFS(dados!$M$2:$M$1028,dados!$I$2:$I$1028,E62)</f>
        <v>0.0152629590425128</v>
      </c>
      <c r="H62" s="7" t="n">
        <f aca="false">SQRT(G62*40000/PI())</f>
        <v>13.9403741063862</v>
      </c>
      <c r="I62" s="11" t="n">
        <f aca="false">_xlfn.MAXIFS(dados!$N$2:$N$1028,dados!$I$2:$I$1028,E62)</f>
        <v>8</v>
      </c>
      <c r="J62" s="3"/>
      <c r="K62" s="3"/>
    </row>
    <row r="63" customFormat="false" ht="15" hidden="false" customHeight="false" outlineLevel="0" collapsed="false">
      <c r="A63" s="2" t="s">
        <v>32</v>
      </c>
      <c r="B63" s="2" t="s">
        <v>134</v>
      </c>
      <c r="C63" s="2" t="n">
        <v>63</v>
      </c>
      <c r="D63" s="2" t="s">
        <v>37</v>
      </c>
      <c r="E63" s="2" t="s">
        <v>149</v>
      </c>
      <c r="F63" s="6" t="n">
        <f aca="false">COUNTIF(dados!$I$2:$I$1028,E63)</f>
        <v>2</v>
      </c>
      <c r="G63" s="10" t="n">
        <f aca="false">SUMIFS(dados!$M$2:$M$1028,dados!$I$2:$I$1028,E63)</f>
        <v>0.00739274710661854</v>
      </c>
      <c r="H63" s="7" t="n">
        <f aca="false">SQRT(G63*40000/PI())</f>
        <v>9.70192659236978</v>
      </c>
      <c r="I63" s="11" t="n">
        <f aca="false">_xlfn.MAXIFS(dados!$N$2:$N$1028,dados!$I$2:$I$1028,E63)</f>
        <v>7</v>
      </c>
      <c r="J63" s="3"/>
      <c r="K63" s="3"/>
    </row>
    <row r="64" customFormat="false" ht="15" hidden="false" customHeight="false" outlineLevel="0" collapsed="false">
      <c r="A64" s="2" t="s">
        <v>32</v>
      </c>
      <c r="B64" s="2" t="s">
        <v>134</v>
      </c>
      <c r="C64" s="2" t="n">
        <v>64</v>
      </c>
      <c r="D64" s="2" t="s">
        <v>46</v>
      </c>
      <c r="E64" s="2" t="s">
        <v>150</v>
      </c>
      <c r="F64" s="6" t="n">
        <f aca="false">COUNTIF(dados!$I$2:$I$1028,E64)</f>
        <v>1</v>
      </c>
      <c r="G64" s="10" t="n">
        <f aca="false">SUMIFS(dados!$M$2:$M$1028,dados!$I$2:$I$1028,E64)</f>
        <v>0.00179049310978382</v>
      </c>
      <c r="H64" s="7" t="n">
        <f aca="false">SQRT(G64*40000/PI())</f>
        <v>4.77464829275686</v>
      </c>
      <c r="I64" s="11" t="n">
        <f aca="false">_xlfn.MAXIFS(dados!$N$2:$N$1028,dados!$I$2:$I$1028,E64)</f>
        <v>5</v>
      </c>
      <c r="J64" s="3"/>
      <c r="K64" s="3"/>
    </row>
    <row r="65" customFormat="false" ht="15" hidden="false" customHeight="false" outlineLevel="0" collapsed="false">
      <c r="A65" s="2" t="s">
        <v>32</v>
      </c>
      <c r="B65" s="2" t="s">
        <v>134</v>
      </c>
      <c r="C65" s="2" t="n">
        <v>65</v>
      </c>
      <c r="D65" s="2" t="s">
        <v>37</v>
      </c>
      <c r="E65" s="2" t="s">
        <v>151</v>
      </c>
      <c r="F65" s="6" t="n">
        <f aca="false">COUNTIF(dados!$I$2:$I$1028,E65)</f>
        <v>2</v>
      </c>
      <c r="G65" s="10" t="n">
        <f aca="false">SUMIFS(dados!$M$2:$M$1028,dados!$I$2:$I$1028,E65)</f>
        <v>0.00672429634563258</v>
      </c>
      <c r="H65" s="7" t="n">
        <f aca="false">SQRT(G65*40000/PI())</f>
        <v>9.2529130644233</v>
      </c>
      <c r="I65" s="11" t="n">
        <f aca="false">_xlfn.MAXIFS(dados!$N$2:$N$1028,dados!$I$2:$I$1028,E65)</f>
        <v>4</v>
      </c>
      <c r="J65" s="3"/>
      <c r="K65" s="3"/>
    </row>
    <row r="66" customFormat="false" ht="15" hidden="false" customHeight="false" outlineLevel="0" collapsed="false">
      <c r="A66" s="2" t="s">
        <v>32</v>
      </c>
      <c r="B66" s="2" t="s">
        <v>134</v>
      </c>
      <c r="C66" s="2" t="n">
        <v>66</v>
      </c>
      <c r="D66" s="2" t="s">
        <v>33</v>
      </c>
      <c r="E66" s="2" t="s">
        <v>152</v>
      </c>
      <c r="F66" s="6" t="n">
        <f aca="false">COUNTIF(dados!$I$2:$I$1028,E66)</f>
        <v>1</v>
      </c>
      <c r="G66" s="10" t="n">
        <f aca="false">SUMIFS(dados!$M$2:$M$1028,dados!$I$2:$I$1028,E66)</f>
        <v>0.0025783100780887</v>
      </c>
      <c r="H66" s="7" t="n">
        <f aca="false">SQRT(G66*40000/PI())</f>
        <v>5.72957795130823</v>
      </c>
      <c r="I66" s="11" t="n">
        <f aca="false">_xlfn.MAXIFS(dados!$N$2:$N$1028,dados!$I$2:$I$1028,E66)</f>
        <v>3</v>
      </c>
      <c r="J66" s="3"/>
      <c r="K66" s="3"/>
    </row>
    <row r="67" customFormat="false" ht="15" hidden="false" customHeight="false" outlineLevel="0" collapsed="false">
      <c r="A67" s="2" t="s">
        <v>32</v>
      </c>
      <c r="B67" s="2" t="s">
        <v>134</v>
      </c>
      <c r="C67" s="2" t="n">
        <v>67</v>
      </c>
      <c r="D67" s="2" t="s">
        <v>37</v>
      </c>
      <c r="E67" s="2" t="s">
        <v>153</v>
      </c>
      <c r="F67" s="6" t="n">
        <f aca="false">COUNTIF(dados!$I$2:$I$1028,E67)</f>
        <v>1</v>
      </c>
      <c r="G67" s="10" t="n">
        <f aca="false">SUMIFS(dados!$M$2:$M$1028,dados!$I$2:$I$1028,E67)</f>
        <v>0.00458366236104659</v>
      </c>
      <c r="H67" s="7" t="n">
        <f aca="false">SQRT(G67*40000/PI())</f>
        <v>7.63943726841098</v>
      </c>
      <c r="I67" s="11" t="n">
        <f aca="false">_xlfn.MAXIFS(dados!$N$2:$N$1028,dados!$I$2:$I$1028,E67)</f>
        <v>8</v>
      </c>
      <c r="J67" s="3"/>
      <c r="K67" s="3"/>
    </row>
    <row r="68" customFormat="false" ht="15" hidden="false" customHeight="false" outlineLevel="0" collapsed="false">
      <c r="A68" s="2" t="s">
        <v>32</v>
      </c>
      <c r="B68" s="2" t="s">
        <v>134</v>
      </c>
      <c r="C68" s="2" t="n">
        <v>68</v>
      </c>
      <c r="D68" s="2" t="s">
        <v>37</v>
      </c>
      <c r="E68" s="2" t="s">
        <v>154</v>
      </c>
      <c r="F68" s="6" t="n">
        <f aca="false">COUNTIF(dados!$I$2:$I$1028,E68)</f>
        <v>2</v>
      </c>
      <c r="G68" s="10" t="n">
        <f aca="false">SUMIFS(dados!$M$2:$M$1028,dados!$I$2:$I$1028,E68)</f>
        <v>0.0164645788628566</v>
      </c>
      <c r="H68" s="7" t="n">
        <f aca="false">SQRT(G68*40000/PI())</f>
        <v>14.4787267726136</v>
      </c>
      <c r="I68" s="11" t="n">
        <f aca="false">_xlfn.MAXIFS(dados!$N$2:$N$1028,dados!$I$2:$I$1028,E68)</f>
        <v>6</v>
      </c>
      <c r="J68" s="3"/>
      <c r="K68" s="3"/>
    </row>
    <row r="69" customFormat="false" ht="15" hidden="false" customHeight="false" outlineLevel="0" collapsed="false">
      <c r="A69" s="2" t="s">
        <v>32</v>
      </c>
      <c r="B69" s="2" t="s">
        <v>134</v>
      </c>
      <c r="C69" s="2" t="n">
        <v>69</v>
      </c>
      <c r="D69" s="2" t="s">
        <v>33</v>
      </c>
      <c r="E69" s="2" t="s">
        <v>155</v>
      </c>
      <c r="F69" s="6" t="n">
        <f aca="false">COUNTIF(dados!$I$2:$I$1028,E69)</f>
        <v>1</v>
      </c>
      <c r="G69" s="10" t="n">
        <f aca="false">SUMIFS(dados!$M$2:$M$1028,dados!$I$2:$I$1028,E69)</f>
        <v>0.00318309886183791</v>
      </c>
      <c r="H69" s="7" t="n">
        <f aca="false">SQRT(G69*40000/PI())</f>
        <v>6.36619772367581</v>
      </c>
      <c r="I69" s="11" t="n">
        <f aca="false">_xlfn.MAXIFS(dados!$N$2:$N$1028,dados!$I$2:$I$1028,E69)</f>
        <v>6</v>
      </c>
      <c r="J69" s="3"/>
      <c r="K69" s="3"/>
    </row>
    <row r="70" customFormat="false" ht="15" hidden="false" customHeight="false" outlineLevel="0" collapsed="false">
      <c r="A70" s="2" t="s">
        <v>32</v>
      </c>
      <c r="B70" s="2" t="s">
        <v>134</v>
      </c>
      <c r="C70" s="2" t="n">
        <v>70</v>
      </c>
      <c r="D70" s="2" t="s">
        <v>46</v>
      </c>
      <c r="E70" s="2" t="s">
        <v>156</v>
      </c>
      <c r="F70" s="6" t="n">
        <f aca="false">COUNTIF(dados!$I$2:$I$1028,E70)</f>
        <v>1</v>
      </c>
      <c r="G70" s="10" t="n">
        <f aca="false">SUMIFS(dados!$M$2:$M$1028,dados!$I$2:$I$1028,E70)</f>
        <v>0.00420964824478063</v>
      </c>
      <c r="H70" s="7" t="n">
        <f aca="false">SQRT(G70*40000/PI())</f>
        <v>7.32112738222719</v>
      </c>
      <c r="I70" s="11" t="n">
        <f aca="false">_xlfn.MAXIFS(dados!$N$2:$N$1028,dados!$I$2:$I$1028,E70)</f>
        <v>3</v>
      </c>
      <c r="J70" s="3"/>
      <c r="K70" s="3"/>
    </row>
    <row r="71" customFormat="false" ht="15" hidden="false" customHeight="false" outlineLevel="0" collapsed="false">
      <c r="A71" s="2" t="s">
        <v>32</v>
      </c>
      <c r="B71" s="2" t="s">
        <v>134</v>
      </c>
      <c r="C71" s="2" t="n">
        <v>71</v>
      </c>
      <c r="D71" s="2" t="s">
        <v>33</v>
      </c>
      <c r="E71" s="2" t="s">
        <v>157</v>
      </c>
      <c r="F71" s="6" t="n">
        <f aca="false">COUNTIF(dados!$I$2:$I$1028,E71)</f>
        <v>1</v>
      </c>
      <c r="G71" s="10" t="n">
        <f aca="false">SUMIFS(dados!$M$2:$M$1028,dados!$I$2:$I$1028,E71)</f>
        <v>0.00919915571071155</v>
      </c>
      <c r="H71" s="7" t="n">
        <f aca="false">SQRT(G71*40000/PI())</f>
        <v>10.8225361302489</v>
      </c>
      <c r="I71" s="11" t="n">
        <f aca="false">_xlfn.MAXIFS(dados!$N$2:$N$1028,dados!$I$2:$I$1028,E71)</f>
        <v>9</v>
      </c>
      <c r="J71" s="3"/>
      <c r="K71" s="3"/>
    </row>
    <row r="72" customFormat="false" ht="15" hidden="false" customHeight="false" outlineLevel="0" collapsed="false">
      <c r="A72" s="2" t="s">
        <v>32</v>
      </c>
      <c r="B72" s="2" t="s">
        <v>134</v>
      </c>
      <c r="C72" s="2" t="n">
        <v>72</v>
      </c>
      <c r="D72" s="2" t="s">
        <v>37</v>
      </c>
      <c r="E72" s="2" t="s">
        <v>158</v>
      </c>
      <c r="F72" s="6" t="n">
        <f aca="false">COUNTIF(dados!$I$2:$I$1028,E72)</f>
        <v>2</v>
      </c>
      <c r="G72" s="10" t="n">
        <f aca="false">SUMIFS(dados!$M$2:$M$1028,dados!$I$2:$I$1028,E72)</f>
        <v>0.00382767638136008</v>
      </c>
      <c r="H72" s="7" t="n">
        <f aca="false">SQRT(G72*40000/PI())</f>
        <v>6.98108081402618</v>
      </c>
      <c r="I72" s="11" t="n">
        <f aca="false">_xlfn.MAXIFS(dados!$N$2:$N$1028,dados!$I$2:$I$1028,E72)</f>
        <v>6</v>
      </c>
      <c r="J72" s="3"/>
      <c r="K72" s="3"/>
    </row>
    <row r="73" customFormat="false" ht="15" hidden="false" customHeight="false" outlineLevel="0" collapsed="false">
      <c r="A73" s="2" t="s">
        <v>32</v>
      </c>
      <c r="B73" s="2" t="s">
        <v>134</v>
      </c>
      <c r="C73" s="2" t="n">
        <v>73</v>
      </c>
      <c r="D73" s="2" t="s">
        <v>37</v>
      </c>
      <c r="E73" s="2" t="s">
        <v>159</v>
      </c>
      <c r="F73" s="6" t="n">
        <f aca="false">COUNTIF(dados!$I$2:$I$1028,E73)</f>
        <v>1</v>
      </c>
      <c r="G73" s="10" t="n">
        <f aca="false">SUMIFS(dados!$M$2:$M$1028,dados!$I$2:$I$1028,E73)</f>
        <v>0.00318309886183791</v>
      </c>
      <c r="H73" s="7" t="n">
        <f aca="false">SQRT(G73*40000/PI())</f>
        <v>6.36619772367581</v>
      </c>
      <c r="I73" s="11" t="n">
        <f aca="false">_xlfn.MAXIFS(dados!$N$2:$N$1028,dados!$I$2:$I$1028,E73)</f>
        <v>8</v>
      </c>
      <c r="J73" s="3"/>
      <c r="K73" s="3"/>
    </row>
    <row r="74" customFormat="false" ht="15" hidden="false" customHeight="false" outlineLevel="0" collapsed="false">
      <c r="A74" s="2" t="s">
        <v>32</v>
      </c>
      <c r="B74" s="2" t="s">
        <v>134</v>
      </c>
      <c r="C74" s="2" t="n">
        <v>74</v>
      </c>
      <c r="D74" s="2" t="s">
        <v>37</v>
      </c>
      <c r="E74" s="2" t="s">
        <v>160</v>
      </c>
      <c r="F74" s="6" t="n">
        <f aca="false">COUNTIF(dados!$I$2:$I$1028,E74)</f>
        <v>1</v>
      </c>
      <c r="G74" s="10" t="n">
        <f aca="false">SUMIFS(dados!$M$2:$M$1028,dados!$I$2:$I$1028,E74)</f>
        <v>0.0232047907027983</v>
      </c>
      <c r="H74" s="7" t="n">
        <f aca="false">SQRT(G74*40000/PI())</f>
        <v>17.1887338539247</v>
      </c>
      <c r="I74" s="11" t="n">
        <f aca="false">_xlfn.MAXIFS(dados!$N$2:$N$1028,dados!$I$2:$I$1028,E74)</f>
        <v>11</v>
      </c>
      <c r="J74" s="3"/>
      <c r="K74" s="3"/>
    </row>
    <row r="75" customFormat="false" ht="15" hidden="false" customHeight="false" outlineLevel="0" collapsed="false">
      <c r="A75" s="2" t="s">
        <v>32</v>
      </c>
      <c r="B75" s="2" t="s">
        <v>134</v>
      </c>
      <c r="C75" s="2" t="n">
        <v>75</v>
      </c>
      <c r="D75" s="2" t="s">
        <v>37</v>
      </c>
      <c r="E75" s="2" t="s">
        <v>161</v>
      </c>
      <c r="F75" s="6" t="n">
        <f aca="false">COUNTIF(dados!$I$2:$I$1028,E75)</f>
        <v>2</v>
      </c>
      <c r="G75" s="10" t="n">
        <f aca="false">SUMIFS(dados!$M$2:$M$1028,dados!$I$2:$I$1028,E75)</f>
        <v>0.0113716206839159</v>
      </c>
      <c r="H75" s="7" t="n">
        <f aca="false">SQRT(G75*40000/PI())</f>
        <v>12.0327873506059</v>
      </c>
      <c r="I75" s="11" t="n">
        <f aca="false">_xlfn.MAXIFS(dados!$N$2:$N$1028,dados!$I$2:$I$1028,E75)</f>
        <v>8</v>
      </c>
      <c r="J75" s="3"/>
      <c r="K75" s="3"/>
    </row>
    <row r="76" customFormat="false" ht="15" hidden="false" customHeight="false" outlineLevel="0" collapsed="false">
      <c r="A76" s="2" t="s">
        <v>32</v>
      </c>
      <c r="B76" s="2" t="s">
        <v>134</v>
      </c>
      <c r="C76" s="2" t="n">
        <v>76</v>
      </c>
      <c r="D76" s="2" t="s">
        <v>37</v>
      </c>
      <c r="E76" s="2" t="s">
        <v>162</v>
      </c>
      <c r="F76" s="6" t="n">
        <f aca="false">COUNTIF(dados!$I$2:$I$1028,E76)</f>
        <v>1</v>
      </c>
      <c r="G76" s="10" t="n">
        <f aca="false">SUMIFS(dados!$M$2:$M$1028,dados!$I$2:$I$1028,E76)</f>
        <v>0.0133769729668738</v>
      </c>
      <c r="H76" s="7" t="n">
        <f aca="false">SQRT(G76*40000/PI())</f>
        <v>13.0507053335354</v>
      </c>
      <c r="I76" s="11" t="n">
        <f aca="false">_xlfn.MAXIFS(dados!$N$2:$N$1028,dados!$I$2:$I$1028,E76)</f>
        <v>9</v>
      </c>
      <c r="J76" s="3"/>
      <c r="K76" s="3"/>
    </row>
    <row r="77" customFormat="false" ht="15" hidden="false" customHeight="false" outlineLevel="0" collapsed="false">
      <c r="A77" s="2" t="s">
        <v>32</v>
      </c>
      <c r="B77" s="2" t="s">
        <v>134</v>
      </c>
      <c r="C77" s="2" t="n">
        <v>77</v>
      </c>
      <c r="D77" s="2" t="s">
        <v>33</v>
      </c>
      <c r="E77" s="2" t="s">
        <v>163</v>
      </c>
      <c r="F77" s="6" t="n">
        <f aca="false">COUNTIF(dados!$I$2:$I$1028,E77)</f>
        <v>1</v>
      </c>
      <c r="G77" s="10" t="n">
        <f aca="false">SUMIFS(dados!$M$2:$M$1028,dados!$I$2:$I$1028,E77)</f>
        <v>0.00814873308630504</v>
      </c>
      <c r="H77" s="7" t="n">
        <f aca="false">SQRT(G77*40000/PI())</f>
        <v>10.1859163578813</v>
      </c>
      <c r="I77" s="11" t="n">
        <f aca="false">_xlfn.MAXIFS(dados!$N$2:$N$1028,dados!$I$2:$I$1028,E77)</f>
        <v>6</v>
      </c>
      <c r="J77" s="3"/>
      <c r="K77" s="3"/>
    </row>
    <row r="78" customFormat="false" ht="15" hidden="false" customHeight="false" outlineLevel="0" collapsed="false">
      <c r="A78" s="2" t="s">
        <v>32</v>
      </c>
      <c r="B78" s="2" t="s">
        <v>134</v>
      </c>
      <c r="C78" s="2" t="n">
        <v>78</v>
      </c>
      <c r="D78" s="2" t="s">
        <v>37</v>
      </c>
      <c r="E78" s="2" t="s">
        <v>164</v>
      </c>
      <c r="F78" s="6" t="n">
        <f aca="false">COUNTIF(dados!$I$2:$I$1028,E78)</f>
        <v>1</v>
      </c>
      <c r="G78" s="10" t="n">
        <f aca="false">SUMIFS(dados!$M$2:$M$1028,dados!$I$2:$I$1028,E78)</f>
        <v>0.00203718327157626</v>
      </c>
      <c r="H78" s="7" t="n">
        <f aca="false">SQRT(G78*40000/PI())</f>
        <v>5.09295817894065</v>
      </c>
      <c r="I78" s="11" t="n">
        <f aca="false">_xlfn.MAXIFS(dados!$N$2:$N$1028,dados!$I$2:$I$1028,E78)</f>
        <v>4</v>
      </c>
      <c r="J78" s="3"/>
      <c r="K78" s="3"/>
    </row>
    <row r="79" customFormat="false" ht="15" hidden="false" customHeight="false" outlineLevel="0" collapsed="false">
      <c r="A79" s="2" t="s">
        <v>32</v>
      </c>
      <c r="B79" s="2" t="s">
        <v>134</v>
      </c>
      <c r="C79" s="2" t="n">
        <v>79</v>
      </c>
      <c r="D79" s="2" t="s">
        <v>47</v>
      </c>
      <c r="E79" s="2" t="s">
        <v>165</v>
      </c>
      <c r="F79" s="6" t="n">
        <f aca="false">COUNTIF(dados!$I$2:$I$1028,E79)</f>
        <v>1</v>
      </c>
      <c r="G79" s="10" t="n">
        <f aca="false">SUMIFS(dados!$M$2:$M$1028,dados!$I$2:$I$1028,E79)</f>
        <v>0.0066924653570142</v>
      </c>
      <c r="H79" s="7" t="n">
        <f aca="false">SQRT(G79*40000/PI())</f>
        <v>9.23098669932993</v>
      </c>
      <c r="I79" s="11" t="n">
        <f aca="false">_xlfn.MAXIFS(dados!$N$2:$N$1028,dados!$I$2:$I$1028,E79)</f>
        <v>3</v>
      </c>
      <c r="J79" s="3"/>
      <c r="K79" s="3"/>
    </row>
    <row r="80" customFormat="false" ht="15" hidden="false" customHeight="false" outlineLevel="0" collapsed="false">
      <c r="A80" s="2" t="s">
        <v>32</v>
      </c>
      <c r="B80" s="2" t="s">
        <v>134</v>
      </c>
      <c r="C80" s="2" t="n">
        <v>80</v>
      </c>
      <c r="D80" s="2" t="s">
        <v>33</v>
      </c>
      <c r="E80" s="2" t="s">
        <v>166</v>
      </c>
      <c r="F80" s="6" t="n">
        <f aca="false">COUNTIF(dados!$I$2:$I$1028,E80)</f>
        <v>1</v>
      </c>
      <c r="G80" s="10" t="n">
        <f aca="false">SUMIFS(dados!$M$2:$M$1028,dados!$I$2:$I$1028,E80)</f>
        <v>0.00350936649517629</v>
      </c>
      <c r="H80" s="7" t="n">
        <f aca="false">SQRT(G80*40000/PI())</f>
        <v>6.68450760985961</v>
      </c>
      <c r="I80" s="11" t="n">
        <f aca="false">_xlfn.MAXIFS(dados!$N$2:$N$1028,dados!$I$2:$I$1028,E80)</f>
        <v>7</v>
      </c>
      <c r="J80" s="3"/>
      <c r="K80" s="3"/>
    </row>
    <row r="81" customFormat="false" ht="15" hidden="false" customHeight="false" outlineLevel="0" collapsed="false">
      <c r="A81" s="2" t="s">
        <v>32</v>
      </c>
      <c r="B81" s="2" t="s">
        <v>134</v>
      </c>
      <c r="C81" s="2" t="n">
        <v>81</v>
      </c>
      <c r="D81" s="2" t="s">
        <v>37</v>
      </c>
      <c r="E81" s="2" t="s">
        <v>167</v>
      </c>
      <c r="F81" s="6" t="n">
        <f aca="false">COUNTIF(dados!$I$2:$I$1028,E81)</f>
        <v>1</v>
      </c>
      <c r="G81" s="10" t="n">
        <f aca="false">SUMIFS(dados!$M$2:$M$1028,dados!$I$2:$I$1028,E81)</f>
        <v>0.00974824026437859</v>
      </c>
      <c r="H81" s="7" t="n">
        <f aca="false">SQRT(G81*40000/PI())</f>
        <v>11.1408460164327</v>
      </c>
      <c r="I81" s="11" t="n">
        <f aca="false">_xlfn.MAXIFS(dados!$N$2:$N$1028,dados!$I$2:$I$1028,E81)</f>
        <v>11</v>
      </c>
      <c r="J81" s="3"/>
      <c r="K81" s="3"/>
    </row>
    <row r="82" customFormat="false" ht="15" hidden="false" customHeight="false" outlineLevel="0" collapsed="false">
      <c r="A82" s="2" t="s">
        <v>32</v>
      </c>
      <c r="B82" s="2" t="s">
        <v>134</v>
      </c>
      <c r="C82" s="2" t="n">
        <v>82</v>
      </c>
      <c r="D82" s="2" t="s">
        <v>33</v>
      </c>
      <c r="E82" s="2" t="s">
        <v>168</v>
      </c>
      <c r="F82" s="6" t="n">
        <f aca="false">COUNTIF(dados!$I$2:$I$1028,E82)</f>
        <v>1</v>
      </c>
      <c r="G82" s="10" t="n">
        <f aca="false">SUMIFS(dados!$M$2:$M$1028,dados!$I$2:$I$1028,E82)</f>
        <v>0.0062388737692023</v>
      </c>
      <c r="H82" s="7" t="n">
        <f aca="false">SQRT(G82*40000/PI())</f>
        <v>8.91267681314614</v>
      </c>
      <c r="I82" s="11" t="n">
        <f aca="false">_xlfn.MAXIFS(dados!$N$2:$N$1028,dados!$I$2:$I$1028,E82)</f>
        <v>8</v>
      </c>
      <c r="J82" s="3"/>
      <c r="K82" s="3"/>
    </row>
    <row r="83" customFormat="false" ht="15" hidden="false" customHeight="false" outlineLevel="0" collapsed="false">
      <c r="A83" s="2" t="s">
        <v>32</v>
      </c>
      <c r="B83" s="2" t="s">
        <v>134</v>
      </c>
      <c r="C83" s="2" t="n">
        <v>83</v>
      </c>
      <c r="D83" s="2" t="s">
        <v>48</v>
      </c>
      <c r="E83" s="2" t="s">
        <v>169</v>
      </c>
      <c r="F83" s="6" t="n">
        <f aca="false">COUNTIF(dados!$I$2:$I$1028,E83)</f>
        <v>1</v>
      </c>
      <c r="G83" s="10" t="n">
        <f aca="false">SUMIFS(dados!$M$2:$M$1028,dados!$I$2:$I$1028,E83)</f>
        <v>0.082792401396404</v>
      </c>
      <c r="H83" s="7" t="n">
        <f aca="false">SQRT(G83*40000/PI())</f>
        <v>32.4676083907467</v>
      </c>
      <c r="I83" s="11" t="n">
        <f aca="false">_xlfn.MAXIFS(dados!$N$2:$N$1028,dados!$I$2:$I$1028,E83)</f>
        <v>14</v>
      </c>
      <c r="J83" s="3"/>
      <c r="K83" s="3"/>
    </row>
    <row r="84" customFormat="false" ht="15" hidden="false" customHeight="false" outlineLevel="0" collapsed="false">
      <c r="A84" s="2" t="s">
        <v>32</v>
      </c>
      <c r="B84" s="2" t="s">
        <v>134</v>
      </c>
      <c r="C84" s="2" t="n">
        <v>84</v>
      </c>
      <c r="D84" s="2" t="s">
        <v>37</v>
      </c>
      <c r="E84" s="2" t="s">
        <v>170</v>
      </c>
      <c r="F84" s="6" t="n">
        <f aca="false">COUNTIF(dados!$I$2:$I$1028,E84)</f>
        <v>3</v>
      </c>
      <c r="G84" s="10" t="n">
        <f aca="false">SUMIFS(dados!$M$2:$M$1028,dados!$I$2:$I$1028,E84)</f>
        <v>0.0107827473944759</v>
      </c>
      <c r="H84" s="7" t="n">
        <f aca="false">SQRT(G84*40000/PI())</f>
        <v>11.7170902461049</v>
      </c>
      <c r="I84" s="11" t="n">
        <f aca="false">_xlfn.MAXIFS(dados!$N$2:$N$1028,dados!$I$2:$I$1028,E84)</f>
        <v>7</v>
      </c>
      <c r="J84" s="3"/>
      <c r="K84" s="3"/>
    </row>
    <row r="85" customFormat="false" ht="15" hidden="false" customHeight="false" outlineLevel="0" collapsed="false">
      <c r="A85" s="2" t="s">
        <v>32</v>
      </c>
      <c r="B85" s="2" t="s">
        <v>134</v>
      </c>
      <c r="C85" s="2" t="n">
        <v>85</v>
      </c>
      <c r="D85" s="2" t="s">
        <v>37</v>
      </c>
      <c r="E85" s="2" t="s">
        <v>171</v>
      </c>
      <c r="F85" s="6" t="n">
        <f aca="false">COUNTIF(dados!$I$2:$I$1028,E85)</f>
        <v>1</v>
      </c>
      <c r="G85" s="10" t="n">
        <f aca="false">SUMIFS(dados!$M$2:$M$1028,dados!$I$2:$I$1028,E85)</f>
        <v>0.0114909868912348</v>
      </c>
      <c r="H85" s="7" t="n">
        <f aca="false">SQRT(G85*40000/PI())</f>
        <v>12.095775674984</v>
      </c>
      <c r="I85" s="11" t="n">
        <f aca="false">_xlfn.MAXIFS(dados!$N$2:$N$1028,dados!$I$2:$I$1028,E85)</f>
        <v>10</v>
      </c>
      <c r="J85" s="3"/>
      <c r="K85" s="3"/>
    </row>
    <row r="86" customFormat="false" ht="15" hidden="false" customHeight="false" outlineLevel="0" collapsed="false">
      <c r="A86" s="2" t="s">
        <v>32</v>
      </c>
      <c r="B86" s="2" t="s">
        <v>134</v>
      </c>
      <c r="C86" s="2" t="n">
        <v>86</v>
      </c>
      <c r="D86" s="2" t="s">
        <v>37</v>
      </c>
      <c r="E86" s="2" t="s">
        <v>172</v>
      </c>
      <c r="F86" s="6" t="n">
        <f aca="false">COUNTIF(dados!$I$2:$I$1028,E86)</f>
        <v>1</v>
      </c>
      <c r="G86" s="10" t="n">
        <f aca="false">SUMIFS(dados!$M$2:$M$1028,dados!$I$2:$I$1028,E86)</f>
        <v>0.0062388737692023</v>
      </c>
      <c r="H86" s="7" t="n">
        <f aca="false">SQRT(G86*40000/PI())</f>
        <v>8.91267681314614</v>
      </c>
      <c r="I86" s="11" t="n">
        <f aca="false">_xlfn.MAXIFS(dados!$N$2:$N$1028,dados!$I$2:$I$1028,E86)</f>
        <v>6</v>
      </c>
      <c r="J86" s="3"/>
      <c r="K86" s="3"/>
    </row>
    <row r="87" customFormat="false" ht="15" hidden="false" customHeight="false" outlineLevel="0" collapsed="false">
      <c r="A87" s="2" t="s">
        <v>32</v>
      </c>
      <c r="B87" s="2" t="s">
        <v>134</v>
      </c>
      <c r="C87" s="2" t="n">
        <v>87</v>
      </c>
      <c r="D87" s="2" t="s">
        <v>42</v>
      </c>
      <c r="E87" s="2" t="s">
        <v>173</v>
      </c>
      <c r="F87" s="6" t="n">
        <f aca="false">COUNTIF(dados!$I$2:$I$1028,E87)</f>
        <v>1</v>
      </c>
      <c r="G87" s="10" t="n">
        <f aca="false">SUMIFS(dados!$M$2:$M$1028,dados!$I$2:$I$1028,E87)</f>
        <v>0.0121037334221386</v>
      </c>
      <c r="H87" s="7" t="n">
        <f aca="false">SQRT(G87*40000/PI())</f>
        <v>12.4140855611678</v>
      </c>
      <c r="I87" s="11" t="n">
        <f aca="false">_xlfn.MAXIFS(dados!$N$2:$N$1028,dados!$I$2:$I$1028,E87)</f>
        <v>9</v>
      </c>
      <c r="J87" s="3"/>
      <c r="K87" s="3"/>
    </row>
    <row r="88" customFormat="false" ht="15" hidden="false" customHeight="false" outlineLevel="0" collapsed="false">
      <c r="A88" s="2" t="s">
        <v>32</v>
      </c>
      <c r="B88" s="2" t="s">
        <v>134</v>
      </c>
      <c r="C88" s="2" t="n">
        <v>88</v>
      </c>
      <c r="D88" s="2" t="s">
        <v>37</v>
      </c>
      <c r="E88" s="2" t="s">
        <v>174</v>
      </c>
      <c r="F88" s="6" t="n">
        <f aca="false">COUNTIF(dados!$I$2:$I$1028,E88)</f>
        <v>2</v>
      </c>
      <c r="G88" s="10" t="n">
        <f aca="false">SUMIFS(dados!$M$2:$M$1028,dados!$I$2:$I$1028,E88)</f>
        <v>0.00809302885622288</v>
      </c>
      <c r="H88" s="7" t="n">
        <f aca="false">SQRT(G88*40000/PI())</f>
        <v>10.151041511306</v>
      </c>
      <c r="I88" s="11" t="n">
        <f aca="false">_xlfn.MAXIFS(dados!$N$2:$N$1028,dados!$I$2:$I$1028,E88)</f>
        <v>8</v>
      </c>
      <c r="J88" s="3"/>
      <c r="K88" s="3"/>
    </row>
    <row r="89" customFormat="false" ht="15" hidden="false" customHeight="false" outlineLevel="0" collapsed="false">
      <c r="A89" s="2" t="s">
        <v>32</v>
      </c>
      <c r="B89" s="2" t="s">
        <v>134</v>
      </c>
      <c r="C89" s="2" t="n">
        <v>89</v>
      </c>
      <c r="D89" s="2" t="s">
        <v>37</v>
      </c>
      <c r="E89" s="2" t="s">
        <v>175</v>
      </c>
      <c r="F89" s="6" t="n">
        <f aca="false">COUNTIF(dados!$I$2:$I$1028,E89)</f>
        <v>2</v>
      </c>
      <c r="G89" s="10" t="n">
        <f aca="false">SUMIFS(dados!$M$2:$M$1028,dados!$I$2:$I$1028,E89)</f>
        <v>0.0086739443985083</v>
      </c>
      <c r="H89" s="7" t="n">
        <f aca="false">SQRT(G89*40000/PI())</f>
        <v>10.5090480144563</v>
      </c>
      <c r="I89" s="11" t="n">
        <f aca="false">_xlfn.MAXIFS(dados!$N$2:$N$1028,dados!$I$2:$I$1028,E89)</f>
        <v>6</v>
      </c>
      <c r="J89" s="3"/>
      <c r="K89" s="3"/>
    </row>
    <row r="90" customFormat="false" ht="15" hidden="false" customHeight="false" outlineLevel="0" collapsed="false">
      <c r="A90" s="2" t="s">
        <v>32</v>
      </c>
      <c r="B90" s="2" t="s">
        <v>134</v>
      </c>
      <c r="C90" s="2" t="n">
        <v>90</v>
      </c>
      <c r="D90" s="2" t="s">
        <v>37</v>
      </c>
      <c r="E90" s="2" t="s">
        <v>176</v>
      </c>
      <c r="F90" s="6" t="n">
        <f aca="false">COUNTIF(dados!$I$2:$I$1028,E90)</f>
        <v>3</v>
      </c>
      <c r="G90" s="10" t="n">
        <f aca="false">SUMIFS(dados!$M$2:$M$1028,dados!$I$2:$I$1028,E90)</f>
        <v>0.01276422643597</v>
      </c>
      <c r="H90" s="7" t="n">
        <f aca="false">SQRT(G90*40000/PI())</f>
        <v>12.7483010068915</v>
      </c>
      <c r="I90" s="11" t="n">
        <f aca="false">_xlfn.MAXIFS(dados!$N$2:$N$1028,dados!$I$2:$I$1028,E90)</f>
        <v>10</v>
      </c>
      <c r="J90" s="3"/>
      <c r="K90" s="3"/>
    </row>
    <row r="91" customFormat="false" ht="15" hidden="false" customHeight="false" outlineLevel="0" collapsed="false">
      <c r="A91" s="2" t="s">
        <v>32</v>
      </c>
      <c r="B91" s="2" t="s">
        <v>134</v>
      </c>
      <c r="C91" s="2" t="n">
        <v>91</v>
      </c>
      <c r="D91" s="2" t="s">
        <v>33</v>
      </c>
      <c r="E91" s="2" t="s">
        <v>177</v>
      </c>
      <c r="F91" s="6" t="n">
        <f aca="false">COUNTIF(dados!$I$2:$I$1028,E91)</f>
        <v>1</v>
      </c>
      <c r="G91" s="10" t="n">
        <f aca="false">SUMIFS(dados!$M$2:$M$1028,dados!$I$2:$I$1028,E91)</f>
        <v>0.00229978892767789</v>
      </c>
      <c r="H91" s="7" t="n">
        <f aca="false">SQRT(G91*40000/PI())</f>
        <v>5.41126806512444</v>
      </c>
      <c r="I91" s="11" t="n">
        <f aca="false">_xlfn.MAXIFS(dados!$N$2:$N$1028,dados!$I$2:$I$1028,E91)</f>
        <v>10</v>
      </c>
      <c r="J91" s="3"/>
      <c r="K91" s="3"/>
    </row>
    <row r="92" customFormat="false" ht="15" hidden="false" customHeight="false" outlineLevel="0" collapsed="false">
      <c r="A92" s="2" t="s">
        <v>32</v>
      </c>
      <c r="B92" s="2" t="s">
        <v>134</v>
      </c>
      <c r="C92" s="2" t="n">
        <v>92</v>
      </c>
      <c r="D92" s="2" t="s">
        <v>37</v>
      </c>
      <c r="E92" s="2" t="s">
        <v>178</v>
      </c>
      <c r="F92" s="6" t="n">
        <f aca="false">COUNTIF(dados!$I$2:$I$1028,E92)</f>
        <v>3</v>
      </c>
      <c r="G92" s="10" t="n">
        <f aca="false">SUMIFS(dados!$M$2:$M$1028,dados!$I$2:$I$1028,E92)</f>
        <v>0.00640598645944879</v>
      </c>
      <c r="H92" s="7" t="n">
        <f aca="false">SQRT(G92*40000/PI())</f>
        <v>9.03125422253642</v>
      </c>
      <c r="I92" s="11" t="n">
        <f aca="false">_xlfn.MAXIFS(dados!$N$2:$N$1028,dados!$I$2:$I$1028,E92)</f>
        <v>5</v>
      </c>
      <c r="J92" s="3"/>
      <c r="K92" s="3"/>
    </row>
    <row r="93" customFormat="false" ht="15" hidden="false" customHeight="false" outlineLevel="0" collapsed="false">
      <c r="A93" s="2" t="s">
        <v>32</v>
      </c>
      <c r="B93" s="2" t="s">
        <v>134</v>
      </c>
      <c r="C93" s="2" t="n">
        <v>93</v>
      </c>
      <c r="D93" s="2" t="s">
        <v>33</v>
      </c>
      <c r="E93" s="2" t="s">
        <v>179</v>
      </c>
      <c r="F93" s="6" t="n">
        <f aca="false">COUNTIF(dados!$I$2:$I$1028,E93)</f>
        <v>1</v>
      </c>
      <c r="G93" s="10" t="n">
        <f aca="false">SUMIFS(dados!$M$2:$M$1028,dados!$I$2:$I$1028,E93)</f>
        <v>0.00385154962282387</v>
      </c>
      <c r="H93" s="7" t="n">
        <f aca="false">SQRT(G93*40000/PI())</f>
        <v>7.0028174960434</v>
      </c>
      <c r="I93" s="11" t="n">
        <f aca="false">_xlfn.MAXIFS(dados!$N$2:$N$1028,dados!$I$2:$I$1028,E93)</f>
        <v>7</v>
      </c>
      <c r="J93" s="3"/>
      <c r="K93" s="3"/>
    </row>
    <row r="94" customFormat="false" ht="15" hidden="false" customHeight="false" outlineLevel="0" collapsed="false">
      <c r="A94" s="2" t="s">
        <v>32</v>
      </c>
      <c r="B94" s="2" t="s">
        <v>134</v>
      </c>
      <c r="C94" s="2" t="n">
        <v>94</v>
      </c>
      <c r="D94" s="2" t="s">
        <v>37</v>
      </c>
      <c r="E94" s="2" t="s">
        <v>180</v>
      </c>
      <c r="F94" s="6" t="n">
        <f aca="false">COUNTIF(dados!$I$2:$I$1028,E94)</f>
        <v>2</v>
      </c>
      <c r="G94" s="10" t="n">
        <f aca="false">SUMIFS(dados!$M$2:$M$1028,dados!$I$2:$I$1028,E94)</f>
        <v>0.0355552142867294</v>
      </c>
      <c r="H94" s="7" t="n">
        <f aca="false">SQRT(G94*40000/PI())</f>
        <v>21.2768195112419</v>
      </c>
      <c r="I94" s="11" t="n">
        <f aca="false">_xlfn.MAXIFS(dados!$N$2:$N$1028,dados!$I$2:$I$1028,E94)</f>
        <v>11</v>
      </c>
      <c r="J94" s="3"/>
      <c r="K94" s="3"/>
    </row>
    <row r="95" customFormat="false" ht="15" hidden="false" customHeight="false" outlineLevel="0" collapsed="false">
      <c r="A95" s="2" t="s">
        <v>32</v>
      </c>
      <c r="B95" s="2" t="s">
        <v>134</v>
      </c>
      <c r="C95" s="2" t="n">
        <v>95</v>
      </c>
      <c r="D95" s="2" t="s">
        <v>33</v>
      </c>
      <c r="E95" s="2" t="s">
        <v>181</v>
      </c>
      <c r="F95" s="6" t="n">
        <f aca="false">COUNTIF(dados!$I$2:$I$1028,E95)</f>
        <v>2</v>
      </c>
      <c r="G95" s="10" t="n">
        <f aca="false">SUMIFS(dados!$M$2:$M$1028,dados!$I$2:$I$1028,E95)</f>
        <v>0.00776676122288449</v>
      </c>
      <c r="H95" s="7" t="n">
        <f aca="false">SQRT(G95*40000/PI())</f>
        <v>9.94431874161934</v>
      </c>
      <c r="I95" s="11" t="n">
        <f aca="false">_xlfn.MAXIFS(dados!$N$2:$N$1028,dados!$I$2:$I$1028,E95)</f>
        <v>10</v>
      </c>
      <c r="J95" s="3"/>
      <c r="K95" s="3"/>
    </row>
    <row r="96" customFormat="false" ht="15" hidden="false" customHeight="false" outlineLevel="0" collapsed="false">
      <c r="A96" s="2" t="s">
        <v>32</v>
      </c>
      <c r="B96" s="2" t="s">
        <v>134</v>
      </c>
      <c r="C96" s="2" t="n">
        <v>96</v>
      </c>
      <c r="D96" s="2" t="s">
        <v>33</v>
      </c>
      <c r="E96" s="2" t="s">
        <v>182</v>
      </c>
      <c r="F96" s="6" t="n">
        <f aca="false">COUNTIF(dados!$I$2:$I$1028,E96)</f>
        <v>4</v>
      </c>
      <c r="G96" s="10" t="n">
        <f aca="false">SUMIFS(dados!$M$2:$M$1028,dados!$I$2:$I$1028,E96)</f>
        <v>0.0182471142254858</v>
      </c>
      <c r="H96" s="7" t="n">
        <f aca="false">SQRT(G96*40000/PI())</f>
        <v>15.2423578914773</v>
      </c>
      <c r="I96" s="11" t="n">
        <f aca="false">_xlfn.MAXIFS(dados!$N$2:$N$1028,dados!$I$2:$I$1028,E96)</f>
        <v>11</v>
      </c>
      <c r="J96" s="3"/>
      <c r="K96" s="3"/>
    </row>
    <row r="97" customFormat="false" ht="15" hidden="false" customHeight="false" outlineLevel="0" collapsed="false">
      <c r="A97" s="2" t="s">
        <v>32</v>
      </c>
      <c r="B97" s="2" t="s">
        <v>134</v>
      </c>
      <c r="C97" s="2" t="n">
        <v>97</v>
      </c>
      <c r="D97" s="2" t="s">
        <v>37</v>
      </c>
      <c r="E97" s="2" t="s">
        <v>183</v>
      </c>
      <c r="F97" s="6" t="n">
        <f aca="false">COUNTIF(dados!$I$2:$I$1028,E97)</f>
        <v>1</v>
      </c>
      <c r="G97" s="10" t="n">
        <f aca="false">SUMIFS(dados!$M$2:$M$1028,dados!$I$2:$I$1028,E97)</f>
        <v>0.00420964824478063</v>
      </c>
      <c r="H97" s="7" t="n">
        <f aca="false">SQRT(G97*40000/PI())</f>
        <v>7.32112738222719</v>
      </c>
      <c r="I97" s="11" t="n">
        <f aca="false">_xlfn.MAXIFS(dados!$N$2:$N$1028,dados!$I$2:$I$1028,E97)</f>
        <v>4</v>
      </c>
      <c r="J97" s="3"/>
      <c r="K97" s="3"/>
    </row>
    <row r="98" customFormat="false" ht="15" hidden="false" customHeight="false" outlineLevel="0" collapsed="false">
      <c r="A98" s="2" t="s">
        <v>32</v>
      </c>
      <c r="B98" s="2" t="s">
        <v>134</v>
      </c>
      <c r="C98" s="2" t="n">
        <v>98</v>
      </c>
      <c r="D98" s="2" t="s">
        <v>33</v>
      </c>
      <c r="E98" s="2" t="s">
        <v>184</v>
      </c>
      <c r="F98" s="6" t="n">
        <f aca="false">COUNTIF(dados!$I$2:$I$1028,E98)</f>
        <v>1</v>
      </c>
      <c r="G98" s="10" t="n">
        <f aca="false">SUMIFS(dados!$M$2:$M$1028,dados!$I$2:$I$1028,E98)</f>
        <v>0.00229978892767789</v>
      </c>
      <c r="H98" s="7" t="n">
        <f aca="false">SQRT(G98*40000/PI())</f>
        <v>5.41126806512444</v>
      </c>
      <c r="I98" s="11" t="n">
        <f aca="false">_xlfn.MAXIFS(dados!$N$2:$N$1028,dados!$I$2:$I$1028,E98)</f>
        <v>5</v>
      </c>
      <c r="J98" s="3"/>
      <c r="K98" s="3"/>
    </row>
    <row r="99" customFormat="false" ht="15" hidden="false" customHeight="false" outlineLevel="0" collapsed="false">
      <c r="A99" s="2" t="s">
        <v>32</v>
      </c>
      <c r="B99" s="2" t="s">
        <v>134</v>
      </c>
      <c r="C99" s="2" t="n">
        <v>99</v>
      </c>
      <c r="D99" s="2" t="s">
        <v>37</v>
      </c>
      <c r="E99" s="2" t="s">
        <v>185</v>
      </c>
      <c r="F99" s="6" t="n">
        <f aca="false">COUNTIF(dados!$I$2:$I$1028,E99)</f>
        <v>2</v>
      </c>
      <c r="G99" s="10" t="n">
        <f aca="false">SUMIFS(dados!$M$2:$M$1028,dados!$I$2:$I$1028,E99)</f>
        <v>0.0124936630327138</v>
      </c>
      <c r="H99" s="7" t="n">
        <f aca="false">SQRT(G99*40000/PI())</f>
        <v>12.6124644030606</v>
      </c>
      <c r="I99" s="11" t="n">
        <f aca="false">_xlfn.MAXIFS(dados!$N$2:$N$1028,dados!$I$2:$I$1028,E99)</f>
        <v>10</v>
      </c>
      <c r="J99" s="3"/>
      <c r="K99" s="3"/>
    </row>
    <row r="100" customFormat="false" ht="15" hidden="false" customHeight="false" outlineLevel="0" collapsed="false">
      <c r="A100" s="2" t="s">
        <v>32</v>
      </c>
      <c r="B100" s="2" t="s">
        <v>134</v>
      </c>
      <c r="C100" s="2" t="n">
        <v>100</v>
      </c>
      <c r="D100" s="2" t="s">
        <v>33</v>
      </c>
      <c r="E100" s="2" t="s">
        <v>186</v>
      </c>
      <c r="F100" s="6" t="n">
        <f aca="false">COUNTIF(dados!$I$2:$I$1028,E100)</f>
        <v>2</v>
      </c>
      <c r="G100" s="10" t="n">
        <f aca="false">SUMIFS(dados!$M$2:$M$1028,dados!$I$2:$I$1028,E100)</f>
        <v>0.00636619772367582</v>
      </c>
      <c r="H100" s="7" t="n">
        <f aca="false">SQRT(G100*40000/PI())</f>
        <v>9.00316316157106</v>
      </c>
      <c r="I100" s="11" t="n">
        <f aca="false">_xlfn.MAXIFS(dados!$N$2:$N$1028,dados!$I$2:$I$1028,E100)</f>
        <v>5</v>
      </c>
      <c r="J100" s="3"/>
      <c r="K100" s="3"/>
    </row>
    <row r="101" customFormat="false" ht="15" hidden="false" customHeight="false" outlineLevel="0" collapsed="false">
      <c r="A101" s="2" t="s">
        <v>32</v>
      </c>
      <c r="B101" s="2" t="s">
        <v>134</v>
      </c>
      <c r="C101" s="2" t="n">
        <v>101</v>
      </c>
      <c r="D101" s="2" t="s">
        <v>37</v>
      </c>
      <c r="E101" s="2" t="s">
        <v>187</v>
      </c>
      <c r="F101" s="6" t="n">
        <f aca="false">COUNTIF(dados!$I$2:$I$1028,E101)</f>
        <v>1</v>
      </c>
      <c r="G101" s="10" t="n">
        <f aca="false">SUMIFS(dados!$M$2:$M$1028,dados!$I$2:$I$1028,E101)</f>
        <v>0.0025783100780887</v>
      </c>
      <c r="H101" s="7" t="n">
        <f aca="false">SQRT(G101*40000/PI())</f>
        <v>5.72957795130823</v>
      </c>
      <c r="I101" s="11" t="n">
        <f aca="false">_xlfn.MAXIFS(dados!$N$2:$N$1028,dados!$I$2:$I$1028,E101)</f>
        <v>4</v>
      </c>
      <c r="J101" s="3"/>
      <c r="K101" s="3"/>
    </row>
    <row r="102" customFormat="false" ht="15" hidden="false" customHeight="false" outlineLevel="0" collapsed="false">
      <c r="A102" s="2" t="s">
        <v>32</v>
      </c>
      <c r="B102" s="2" t="s">
        <v>134</v>
      </c>
      <c r="C102" s="2" t="n">
        <v>102</v>
      </c>
      <c r="D102" s="2" t="s">
        <v>37</v>
      </c>
      <c r="E102" s="2" t="s">
        <v>188</v>
      </c>
      <c r="F102" s="6" t="n">
        <f aca="false">COUNTIF(dados!$I$2:$I$1028,E102)</f>
        <v>2</v>
      </c>
      <c r="G102" s="10" t="n">
        <f aca="false">SUMIFS(dados!$M$2:$M$1028,dados!$I$2:$I$1028,E102)</f>
        <v>0.00736091611800016</v>
      </c>
      <c r="H102" s="7" t="n">
        <f aca="false">SQRT(G102*40000/PI())</f>
        <v>9.68101724351127</v>
      </c>
      <c r="I102" s="11" t="n">
        <f aca="false">_xlfn.MAXIFS(dados!$N$2:$N$1028,dados!$I$2:$I$1028,E102)</f>
        <v>8</v>
      </c>
      <c r="J102" s="3"/>
      <c r="K102" s="3"/>
    </row>
    <row r="103" customFormat="false" ht="15" hidden="false" customHeight="false" outlineLevel="0" collapsed="false">
      <c r="A103" s="2" t="s">
        <v>32</v>
      </c>
      <c r="B103" s="2" t="s">
        <v>134</v>
      </c>
      <c r="C103" s="2" t="n">
        <v>103</v>
      </c>
      <c r="D103" s="2" t="s">
        <v>33</v>
      </c>
      <c r="E103" s="2" t="s">
        <v>189</v>
      </c>
      <c r="F103" s="6" t="n">
        <f aca="false">COUNTIF(dados!$I$2:$I$1028,E103)</f>
        <v>3</v>
      </c>
      <c r="G103" s="10" t="n">
        <f aca="false">SUMIFS(dados!$M$2:$M$1028,dados!$I$2:$I$1028,E103)</f>
        <v>0.0124618320440954</v>
      </c>
      <c r="H103" s="7" t="n">
        <f aca="false">SQRT(G103*40000/PI())</f>
        <v>12.5963873227168</v>
      </c>
      <c r="I103" s="11" t="n">
        <f aca="false">_xlfn.MAXIFS(dados!$N$2:$N$1028,dados!$I$2:$I$1028,E103)</f>
        <v>10</v>
      </c>
      <c r="J103" s="3"/>
      <c r="K103" s="3"/>
    </row>
    <row r="104" customFormat="false" ht="15" hidden="false" customHeight="false" outlineLevel="0" collapsed="false">
      <c r="A104" s="2" t="s">
        <v>32</v>
      </c>
      <c r="B104" s="2" t="s">
        <v>190</v>
      </c>
      <c r="C104" s="2" t="n">
        <v>104</v>
      </c>
      <c r="D104" s="2" t="s">
        <v>37</v>
      </c>
      <c r="E104" s="2" t="s">
        <v>191</v>
      </c>
      <c r="F104" s="6" t="n">
        <f aca="false">COUNTIF(dados!$I$2:$I$1028,E104)</f>
        <v>1</v>
      </c>
      <c r="G104" s="10" t="n">
        <f aca="false">SUMIFS(dados!$M$2:$M$1028,dados!$I$2:$I$1028,E104)</f>
        <v>0.00919915571071155</v>
      </c>
      <c r="H104" s="7" t="n">
        <f aca="false">SQRT(G104*40000/PI())</f>
        <v>10.8225361302489</v>
      </c>
      <c r="I104" s="11" t="n">
        <f aca="false">_xlfn.MAXIFS(dados!$N$2:$N$1028,dados!$I$2:$I$1028,E104)</f>
        <v>10</v>
      </c>
      <c r="J104" s="3"/>
      <c r="K104" s="3"/>
    </row>
    <row r="105" customFormat="false" ht="15" hidden="false" customHeight="false" outlineLevel="0" collapsed="false">
      <c r="A105" s="2" t="s">
        <v>32</v>
      </c>
      <c r="B105" s="2" t="s">
        <v>190</v>
      </c>
      <c r="C105" s="2" t="n">
        <v>105</v>
      </c>
      <c r="D105" s="2" t="s">
        <v>37</v>
      </c>
      <c r="E105" s="2" t="s">
        <v>192</v>
      </c>
      <c r="F105" s="6" t="n">
        <f aca="false">COUNTIF(dados!$I$2:$I$1028,E105)</f>
        <v>2</v>
      </c>
      <c r="G105" s="10" t="n">
        <f aca="false">SUMIFS(dados!$M$2:$M$1028,dados!$I$2:$I$1028,E105)</f>
        <v>0.0100108459204802</v>
      </c>
      <c r="H105" s="7" t="n">
        <f aca="false">SQRT(G105*40000/PI())</f>
        <v>11.2899091680164</v>
      </c>
      <c r="I105" s="11" t="n">
        <f aca="false">_xlfn.MAXIFS(dados!$N$2:$N$1028,dados!$I$2:$I$1028,E105)</f>
        <v>8</v>
      </c>
      <c r="J105" s="3"/>
      <c r="K105" s="3"/>
    </row>
    <row r="106" customFormat="false" ht="15" hidden="false" customHeight="false" outlineLevel="0" collapsed="false">
      <c r="A106" s="2" t="s">
        <v>32</v>
      </c>
      <c r="B106" s="2" t="s">
        <v>190</v>
      </c>
      <c r="C106" s="2" t="n">
        <v>106</v>
      </c>
      <c r="D106" s="2" t="s">
        <v>37</v>
      </c>
      <c r="E106" s="2" t="s">
        <v>193</v>
      </c>
      <c r="F106" s="6" t="n">
        <f aca="false">COUNTIF(dados!$I$2:$I$1028,E106)</f>
        <v>2</v>
      </c>
      <c r="G106" s="10" t="n">
        <f aca="false">SUMIFS(dados!$M$2:$M$1028,dados!$I$2:$I$1028,E106)</f>
        <v>0.012135564410757</v>
      </c>
      <c r="H106" s="7" t="n">
        <f aca="false">SQRT(G106*40000/PI())</f>
        <v>12.4303984270242</v>
      </c>
      <c r="I106" s="11" t="n">
        <f aca="false">_xlfn.MAXIFS(dados!$N$2:$N$1028,dados!$I$2:$I$1028,E106)</f>
        <v>9</v>
      </c>
      <c r="J106" s="3"/>
      <c r="K106" s="3"/>
    </row>
    <row r="107" customFormat="false" ht="15" hidden="false" customHeight="false" outlineLevel="0" collapsed="false">
      <c r="A107" s="2" t="s">
        <v>32</v>
      </c>
      <c r="B107" s="2" t="s">
        <v>190</v>
      </c>
      <c r="C107" s="2" t="n">
        <v>107</v>
      </c>
      <c r="D107" s="2" t="s">
        <v>37</v>
      </c>
      <c r="E107" s="2" t="s">
        <v>194</v>
      </c>
      <c r="F107" s="6" t="n">
        <f aca="false">COUNTIF(dados!$I$2:$I$1028,E107)</f>
        <v>1</v>
      </c>
      <c r="G107" s="10" t="n">
        <f aca="false">SUMIFS(dados!$M$2:$M$1028,dados!$I$2:$I$1028,E107)</f>
        <v>0.0168385929791225</v>
      </c>
      <c r="H107" s="7" t="n">
        <f aca="false">SQRT(G107*40000/PI())</f>
        <v>14.6422547644544</v>
      </c>
      <c r="I107" s="11" t="n">
        <f aca="false">_xlfn.MAXIFS(dados!$N$2:$N$1028,dados!$I$2:$I$1028,E107)</f>
        <v>8</v>
      </c>
      <c r="J107" s="3"/>
      <c r="K107" s="3"/>
    </row>
    <row r="108" customFormat="false" ht="15" hidden="false" customHeight="false" outlineLevel="0" collapsed="false">
      <c r="A108" s="2" t="s">
        <v>32</v>
      </c>
      <c r="B108" s="2" t="s">
        <v>190</v>
      </c>
      <c r="C108" s="2" t="n">
        <v>108</v>
      </c>
      <c r="D108" s="2" t="s">
        <v>37</v>
      </c>
      <c r="E108" s="2" t="s">
        <v>195</v>
      </c>
      <c r="F108" s="6" t="n">
        <f aca="false">COUNTIF(dados!$I$2:$I$1028,E108)</f>
        <v>2</v>
      </c>
      <c r="G108" s="10" t="n">
        <f aca="false">SUMIFS(dados!$M$2:$M$1028,dados!$I$2:$I$1028,E108)</f>
        <v>0.00637415547083041</v>
      </c>
      <c r="H108" s="7" t="n">
        <f aca="false">SQRT(G108*40000/PI())</f>
        <v>9.0087883812149</v>
      </c>
      <c r="I108" s="11" t="n">
        <f aca="false">_xlfn.MAXIFS(dados!$N$2:$N$1028,dados!$I$2:$I$1028,E108)</f>
        <v>10</v>
      </c>
      <c r="J108" s="3"/>
      <c r="K108" s="3"/>
    </row>
    <row r="109" customFormat="false" ht="15" hidden="false" customHeight="false" outlineLevel="0" collapsed="false">
      <c r="A109" s="2" t="s">
        <v>32</v>
      </c>
      <c r="B109" s="2" t="s">
        <v>190</v>
      </c>
      <c r="C109" s="2" t="n">
        <v>109</v>
      </c>
      <c r="D109" s="2" t="s">
        <v>37</v>
      </c>
      <c r="E109" s="2" t="s">
        <v>196</v>
      </c>
      <c r="F109" s="6" t="n">
        <f aca="false">COUNTIF(dados!$I$2:$I$1028,E109)</f>
        <v>1</v>
      </c>
      <c r="G109" s="10" t="n">
        <f aca="false">SUMIFS(dados!$M$2:$M$1028,dados!$I$2:$I$1028,E109)</f>
        <v>0.00287274672280871</v>
      </c>
      <c r="H109" s="7" t="n">
        <f aca="false">SQRT(G109*40000/PI())</f>
        <v>6.04788783749202</v>
      </c>
      <c r="I109" s="11" t="n">
        <f aca="false">_xlfn.MAXIFS(dados!$N$2:$N$1028,dados!$I$2:$I$1028,E109)</f>
        <v>4</v>
      </c>
      <c r="J109" s="3"/>
      <c r="K109" s="3"/>
    </row>
    <row r="110" customFormat="false" ht="15" hidden="false" customHeight="false" outlineLevel="0" collapsed="false">
      <c r="A110" s="2" t="s">
        <v>32</v>
      </c>
      <c r="B110" s="2" t="s">
        <v>190</v>
      </c>
      <c r="C110" s="2" t="n">
        <v>110</v>
      </c>
      <c r="D110" s="2" t="s">
        <v>37</v>
      </c>
      <c r="E110" s="2" t="s">
        <v>197</v>
      </c>
      <c r="F110" s="6" t="n">
        <f aca="false">COUNTIF(dados!$I$2:$I$1028,E110)</f>
        <v>1</v>
      </c>
      <c r="G110" s="10" t="n">
        <f aca="false">SUMIFS(dados!$M$2:$M$1028,dados!$I$2:$I$1028,E110)</f>
        <v>0.00537943707650606</v>
      </c>
      <c r="H110" s="7" t="n">
        <f aca="false">SQRT(G110*40000/PI())</f>
        <v>8.27605704077856</v>
      </c>
      <c r="I110" s="11" t="n">
        <f aca="false">_xlfn.MAXIFS(dados!$N$2:$N$1028,dados!$I$2:$I$1028,E110)</f>
        <v>8</v>
      </c>
      <c r="J110" s="3"/>
      <c r="K110" s="3"/>
    </row>
    <row r="111" customFormat="false" ht="15" hidden="false" customHeight="false" outlineLevel="0" collapsed="false">
      <c r="A111" s="2" t="s">
        <v>32</v>
      </c>
      <c r="B111" s="2" t="s">
        <v>190</v>
      </c>
      <c r="C111" s="2" t="n">
        <v>111</v>
      </c>
      <c r="D111" s="2" t="s">
        <v>37</v>
      </c>
      <c r="E111" s="2" t="s">
        <v>198</v>
      </c>
      <c r="F111" s="6" t="n">
        <f aca="false">COUNTIF(dados!$I$2:$I$1028,E111)</f>
        <v>2</v>
      </c>
      <c r="G111" s="10" t="n">
        <f aca="false">SUMIFS(dados!$M$2:$M$1028,dados!$I$2:$I$1028,E111)</f>
        <v>0.0152868322839765</v>
      </c>
      <c r="H111" s="7" t="n">
        <f aca="false">SQRT(G111*40000/PI())</f>
        <v>13.9512721203814</v>
      </c>
      <c r="I111" s="11" t="n">
        <f aca="false">_xlfn.MAXIFS(dados!$N$2:$N$1028,dados!$I$2:$I$1028,E111)</f>
        <v>7</v>
      </c>
      <c r="J111" s="3"/>
      <c r="K111" s="3"/>
    </row>
    <row r="112" customFormat="false" ht="15" hidden="false" customHeight="false" outlineLevel="0" collapsed="false">
      <c r="A112" s="2" t="s">
        <v>32</v>
      </c>
      <c r="B112" s="2" t="s">
        <v>190</v>
      </c>
      <c r="C112" s="2" t="n">
        <v>112</v>
      </c>
      <c r="D112" s="2" t="s">
        <v>37</v>
      </c>
      <c r="E112" s="2" t="s">
        <v>199</v>
      </c>
      <c r="F112" s="6" t="n">
        <f aca="false">COUNTIF(dados!$I$2:$I$1028,E112)</f>
        <v>2</v>
      </c>
      <c r="G112" s="10" t="n">
        <f aca="false">SUMIFS(dados!$M$2:$M$1028,dados!$I$2:$I$1028,E112)</f>
        <v>0.01070316992293</v>
      </c>
      <c r="H112" s="7" t="n">
        <f aca="false">SQRT(G112*40000/PI())</f>
        <v>11.6737736828733</v>
      </c>
      <c r="I112" s="11" t="n">
        <f aca="false">_xlfn.MAXIFS(dados!$N$2:$N$1028,dados!$I$2:$I$1028,E112)</f>
        <v>6</v>
      </c>
      <c r="J112" s="3"/>
      <c r="K112" s="3"/>
    </row>
    <row r="113" customFormat="false" ht="15" hidden="false" customHeight="false" outlineLevel="0" collapsed="false">
      <c r="A113" s="2" t="s">
        <v>32</v>
      </c>
      <c r="B113" s="2" t="s">
        <v>190</v>
      </c>
      <c r="C113" s="2" t="n">
        <v>113</v>
      </c>
      <c r="D113" s="2" t="s">
        <v>37</v>
      </c>
      <c r="E113" s="2" t="s">
        <v>200</v>
      </c>
      <c r="F113" s="6" t="n">
        <f aca="false">COUNTIF(dados!$I$2:$I$1028,E113)</f>
        <v>1</v>
      </c>
      <c r="G113" s="10" t="n">
        <f aca="false">SUMIFS(dados!$M$2:$M$1028,dados!$I$2:$I$1028,E113)</f>
        <v>0.0249554950768092</v>
      </c>
      <c r="H113" s="7" t="n">
        <f aca="false">SQRT(G113*40000/PI())</f>
        <v>17.8253536262923</v>
      </c>
      <c r="I113" s="11" t="n">
        <f aca="false">_xlfn.MAXIFS(dados!$N$2:$N$1028,dados!$I$2:$I$1028,E113)</f>
        <v>11</v>
      </c>
      <c r="J113" s="3"/>
      <c r="K113" s="3"/>
    </row>
    <row r="114" customFormat="false" ht="15" hidden="false" customHeight="false" outlineLevel="0" collapsed="false">
      <c r="A114" s="2" t="s">
        <v>32</v>
      </c>
      <c r="B114" s="2" t="s">
        <v>190</v>
      </c>
      <c r="C114" s="2" t="n">
        <v>114</v>
      </c>
      <c r="D114" s="2" t="s">
        <v>37</v>
      </c>
      <c r="E114" s="2" t="s">
        <v>201</v>
      </c>
      <c r="F114" s="6" t="n">
        <f aca="false">COUNTIF(dados!$I$2:$I$1028,E114)</f>
        <v>2</v>
      </c>
      <c r="G114" s="10" t="n">
        <f aca="false">SUMIFS(dados!$M$2:$M$1028,dados!$I$2:$I$1028,E114)</f>
        <v>0.0100904233920262</v>
      </c>
      <c r="H114" s="7" t="n">
        <f aca="false">SQRT(G114*40000/PI())</f>
        <v>11.3346927994756</v>
      </c>
      <c r="I114" s="11" t="n">
        <f aca="false">_xlfn.MAXIFS(dados!$N$2:$N$1028,dados!$I$2:$I$1028,E114)</f>
        <v>7</v>
      </c>
      <c r="J114" s="3"/>
      <c r="K114" s="3"/>
    </row>
    <row r="115" customFormat="false" ht="15" hidden="false" customHeight="false" outlineLevel="0" collapsed="false">
      <c r="A115" s="2" t="s">
        <v>32</v>
      </c>
      <c r="B115" s="2" t="s">
        <v>190</v>
      </c>
      <c r="C115" s="2" t="n">
        <v>115</v>
      </c>
      <c r="D115" s="2" t="s">
        <v>37</v>
      </c>
      <c r="E115" s="2" t="s">
        <v>202</v>
      </c>
      <c r="F115" s="6" t="n">
        <f aca="false">COUNTIF(dados!$I$2:$I$1028,E115)</f>
        <v>2</v>
      </c>
      <c r="G115" s="10" t="n">
        <f aca="false">SUMIFS(dados!$M$2:$M$1028,dados!$I$2:$I$1028,E115)</f>
        <v>0.00965274729852345</v>
      </c>
      <c r="H115" s="7" t="n">
        <f aca="false">SQRT(G115*40000/PI())</f>
        <v>11.0861443143302</v>
      </c>
      <c r="I115" s="11" t="n">
        <f aca="false">_xlfn.MAXIFS(dados!$N$2:$N$1028,dados!$I$2:$I$1028,E115)</f>
        <v>9</v>
      </c>
      <c r="J115" s="3"/>
      <c r="K115" s="3"/>
    </row>
    <row r="116" customFormat="false" ht="15" hidden="false" customHeight="false" outlineLevel="0" collapsed="false">
      <c r="A116" s="2" t="s">
        <v>32</v>
      </c>
      <c r="B116" s="2" t="s">
        <v>190</v>
      </c>
      <c r="C116" s="2" t="n">
        <v>116</v>
      </c>
      <c r="D116" s="2" t="s">
        <v>33</v>
      </c>
      <c r="E116" s="2" t="s">
        <v>203</v>
      </c>
      <c r="F116" s="6" t="n">
        <f aca="false">COUNTIF(dados!$I$2:$I$1028,E116)</f>
        <v>1</v>
      </c>
      <c r="G116" s="10" t="n">
        <f aca="false">SUMIFS(dados!$M$2:$M$1028,dados!$I$2:$I$1028,E116)</f>
        <v>0.00287274672280871</v>
      </c>
      <c r="H116" s="7" t="n">
        <f aca="false">SQRT(G116*40000/PI())</f>
        <v>6.04788783749202</v>
      </c>
      <c r="I116" s="11" t="n">
        <f aca="false">_xlfn.MAXIFS(dados!$N$2:$N$1028,dados!$I$2:$I$1028,E116)</f>
        <v>4</v>
      </c>
      <c r="J116" s="3"/>
      <c r="K116" s="3"/>
    </row>
    <row r="117" customFormat="false" ht="15" hidden="false" customHeight="false" outlineLevel="0" collapsed="false">
      <c r="A117" s="2" t="s">
        <v>32</v>
      </c>
      <c r="B117" s="2" t="s">
        <v>190</v>
      </c>
      <c r="C117" s="2" t="n">
        <v>117</v>
      </c>
      <c r="D117" s="2" t="s">
        <v>33</v>
      </c>
      <c r="E117" s="2" t="s">
        <v>204</v>
      </c>
      <c r="F117" s="6" t="n">
        <f aca="false">COUNTIF(dados!$I$2:$I$1028,E117)</f>
        <v>1</v>
      </c>
      <c r="G117" s="10" t="n">
        <f aca="false">SUMIFS(dados!$M$2:$M$1028,dados!$I$2:$I$1028,E117)</f>
        <v>0.00716197243913529</v>
      </c>
      <c r="H117" s="7" t="n">
        <f aca="false">SQRT(G117*40000/PI())</f>
        <v>9.54929658551372</v>
      </c>
      <c r="I117" s="11" t="n">
        <f aca="false">_xlfn.MAXIFS(dados!$N$2:$N$1028,dados!$I$2:$I$1028,E117)</f>
        <v>4</v>
      </c>
      <c r="J117" s="3"/>
      <c r="K117" s="3"/>
    </row>
    <row r="118" customFormat="false" ht="15" hidden="false" customHeight="false" outlineLevel="0" collapsed="false">
      <c r="A118" s="2" t="s">
        <v>32</v>
      </c>
      <c r="B118" s="2" t="s">
        <v>190</v>
      </c>
      <c r="C118" s="2" t="n">
        <v>118</v>
      </c>
      <c r="D118" s="2" t="s">
        <v>37</v>
      </c>
      <c r="E118" s="2" t="s">
        <v>205</v>
      </c>
      <c r="F118" s="6" t="n">
        <f aca="false">COUNTIF(dados!$I$2:$I$1028,E118)</f>
        <v>1</v>
      </c>
      <c r="G118" s="10" t="n">
        <f aca="false">SUMIFS(dados!$M$2:$M$1028,dados!$I$2:$I$1028,E118)</f>
        <v>0.0062388737692023</v>
      </c>
      <c r="H118" s="7" t="n">
        <f aca="false">SQRT(G118*40000/PI())</f>
        <v>8.91267681314614</v>
      </c>
      <c r="I118" s="11" t="n">
        <f aca="false">_xlfn.MAXIFS(dados!$N$2:$N$1028,dados!$I$2:$I$1028,E118)</f>
        <v>6</v>
      </c>
      <c r="J118" s="3"/>
      <c r="K118" s="3"/>
    </row>
    <row r="119" customFormat="false" ht="15" hidden="false" customHeight="false" outlineLevel="0" collapsed="false">
      <c r="A119" s="2" t="s">
        <v>32</v>
      </c>
      <c r="B119" s="2" t="s">
        <v>190</v>
      </c>
      <c r="C119" s="2" t="n">
        <v>119</v>
      </c>
      <c r="D119" s="2" t="s">
        <v>37</v>
      </c>
      <c r="E119" s="2" t="s">
        <v>206</v>
      </c>
      <c r="F119" s="6" t="n">
        <f aca="false">COUNTIF(dados!$I$2:$I$1028,E119)</f>
        <v>1</v>
      </c>
      <c r="G119" s="10" t="n">
        <f aca="false">SUMIFS(dados!$M$2:$M$1028,dados!$I$2:$I$1028,E119)</f>
        <v>0.00919915571071155</v>
      </c>
      <c r="H119" s="7" t="n">
        <f aca="false">SQRT(G119*40000/PI())</f>
        <v>10.8225361302489</v>
      </c>
      <c r="I119" s="11" t="n">
        <f aca="false">_xlfn.MAXIFS(dados!$N$2:$N$1028,dados!$I$2:$I$1028,E119)</f>
        <v>6</v>
      </c>
      <c r="J119" s="3"/>
      <c r="K119" s="3"/>
    </row>
    <row r="120" customFormat="false" ht="15" hidden="false" customHeight="false" outlineLevel="0" collapsed="false">
      <c r="A120" s="2" t="s">
        <v>32</v>
      </c>
      <c r="B120" s="2" t="s">
        <v>190</v>
      </c>
      <c r="C120" s="2" t="n">
        <v>120</v>
      </c>
      <c r="D120" s="2" t="s">
        <v>37</v>
      </c>
      <c r="E120" s="2" t="s">
        <v>207</v>
      </c>
      <c r="F120" s="6" t="n">
        <f aca="false">COUNTIF(dados!$I$2:$I$1028,E120)</f>
        <v>1</v>
      </c>
      <c r="G120" s="10" t="n">
        <f aca="false">SUMIFS(dados!$M$2:$M$1028,dados!$I$2:$I$1028,E120)</f>
        <v>0.00919915571071155</v>
      </c>
      <c r="H120" s="7" t="n">
        <f aca="false">SQRT(G120*40000/PI())</f>
        <v>10.8225361302489</v>
      </c>
      <c r="I120" s="11" t="n">
        <f aca="false">_xlfn.MAXIFS(dados!$N$2:$N$1028,dados!$I$2:$I$1028,E120)</f>
        <v>7</v>
      </c>
      <c r="J120" s="3"/>
      <c r="K120" s="3"/>
    </row>
    <row r="121" customFormat="false" ht="15" hidden="false" customHeight="false" outlineLevel="0" collapsed="false">
      <c r="A121" s="2" t="s">
        <v>32</v>
      </c>
      <c r="B121" s="2" t="s">
        <v>190</v>
      </c>
      <c r="C121" s="2" t="n">
        <v>121</v>
      </c>
      <c r="D121" s="2" t="s">
        <v>37</v>
      </c>
      <c r="E121" s="2" t="s">
        <v>208</v>
      </c>
      <c r="F121" s="6" t="n">
        <f aca="false">COUNTIF(dados!$I$2:$I$1028,E121)</f>
        <v>1</v>
      </c>
      <c r="G121" s="10" t="n">
        <f aca="false">SUMIFS(dados!$M$2:$M$1028,dados!$I$2:$I$1028,E121)</f>
        <v>0.0127323954473516</v>
      </c>
      <c r="H121" s="7" t="n">
        <f aca="false">SQRT(G121*40000/PI())</f>
        <v>12.7323954473516</v>
      </c>
      <c r="I121" s="11" t="n">
        <f aca="false">_xlfn.MAXIFS(dados!$N$2:$N$1028,dados!$I$2:$I$1028,E121)</f>
        <v>11</v>
      </c>
      <c r="J121" s="3"/>
      <c r="K121" s="3"/>
    </row>
    <row r="122" customFormat="false" ht="15" hidden="false" customHeight="false" outlineLevel="0" collapsed="false">
      <c r="A122" s="2" t="s">
        <v>32</v>
      </c>
      <c r="B122" s="2" t="s">
        <v>190</v>
      </c>
      <c r="C122" s="2" t="n">
        <v>122</v>
      </c>
      <c r="D122" s="2" t="s">
        <v>37</v>
      </c>
      <c r="E122" s="2" t="s">
        <v>209</v>
      </c>
      <c r="F122" s="6" t="n">
        <f aca="false">COUNTIF(dados!$I$2:$I$1028,E122)</f>
        <v>1</v>
      </c>
      <c r="G122" s="10" t="n">
        <f aca="false">SUMIFS(dados!$M$2:$M$1028,dados!$I$2:$I$1028,E122)</f>
        <v>0.00537943707650606</v>
      </c>
      <c r="H122" s="7" t="n">
        <f aca="false">SQRT(G122*40000/PI())</f>
        <v>8.27605704077856</v>
      </c>
      <c r="I122" s="11" t="n">
        <f aca="false">_xlfn.MAXIFS(dados!$N$2:$N$1028,dados!$I$2:$I$1028,E122)</f>
        <v>5</v>
      </c>
      <c r="J122" s="3"/>
      <c r="K122" s="3"/>
    </row>
    <row r="123" customFormat="false" ht="15" hidden="false" customHeight="false" outlineLevel="0" collapsed="false">
      <c r="A123" s="2" t="s">
        <v>32</v>
      </c>
      <c r="B123" s="2" t="s">
        <v>190</v>
      </c>
      <c r="C123" s="2" t="n">
        <v>123</v>
      </c>
      <c r="D123" s="2" t="s">
        <v>37</v>
      </c>
      <c r="E123" s="2" t="s">
        <v>210</v>
      </c>
      <c r="F123" s="6" t="n">
        <f aca="false">COUNTIF(dados!$I$2:$I$1028,E123)</f>
        <v>2</v>
      </c>
      <c r="G123" s="10" t="n">
        <f aca="false">SUMIFS(dados!$M$2:$M$1028,dados!$I$2:$I$1028,E123)</f>
        <v>0.0120719024335203</v>
      </c>
      <c r="H123" s="7" t="n">
        <f aca="false">SQRT(G123*40000/PI())</f>
        <v>12.3977512309865</v>
      </c>
      <c r="I123" s="11" t="n">
        <f aca="false">_xlfn.MAXIFS(dados!$N$2:$N$1028,dados!$I$2:$I$1028,E123)</f>
        <v>7</v>
      </c>
      <c r="J123" s="3"/>
      <c r="K123" s="3"/>
    </row>
    <row r="124" customFormat="false" ht="15" hidden="false" customHeight="false" outlineLevel="0" collapsed="false">
      <c r="A124" s="2" t="s">
        <v>32</v>
      </c>
      <c r="B124" s="2" t="s">
        <v>190</v>
      </c>
      <c r="C124" s="2" t="n">
        <v>124</v>
      </c>
      <c r="D124" s="2" t="s">
        <v>33</v>
      </c>
      <c r="E124" s="2" t="s">
        <v>211</v>
      </c>
      <c r="F124" s="6" t="n">
        <f aca="false">COUNTIF(dados!$I$2:$I$1028,E124)</f>
        <v>1</v>
      </c>
      <c r="G124" s="10" t="n">
        <f aca="false">SUMIFS(dados!$M$2:$M$1028,dados!$I$2:$I$1028,E124)</f>
        <v>0.0240721851426492</v>
      </c>
      <c r="H124" s="7" t="n">
        <f aca="false">SQRT(G124*40000/PI())</f>
        <v>17.5070437401085</v>
      </c>
      <c r="I124" s="11" t="n">
        <f aca="false">_xlfn.MAXIFS(dados!$N$2:$N$1028,dados!$I$2:$I$1028,E124)</f>
        <v>9</v>
      </c>
      <c r="J124" s="3"/>
      <c r="K124" s="3"/>
    </row>
    <row r="125" customFormat="false" ht="15" hidden="false" customHeight="false" outlineLevel="0" collapsed="false">
      <c r="A125" s="2" t="s">
        <v>32</v>
      </c>
      <c r="B125" s="2" t="s">
        <v>190</v>
      </c>
      <c r="C125" s="2" t="n">
        <v>125</v>
      </c>
      <c r="D125" s="2" t="s">
        <v>37</v>
      </c>
      <c r="E125" s="2" t="s">
        <v>212</v>
      </c>
      <c r="F125" s="6" t="n">
        <f aca="false">COUNTIF(dados!$I$2:$I$1028,E125)</f>
        <v>2</v>
      </c>
      <c r="G125" s="10" t="n">
        <f aca="false">SUMIFS(dados!$M$2:$M$1028,dados!$I$2:$I$1028,E125)</f>
        <v>0.00931056417087588</v>
      </c>
      <c r="H125" s="7" t="n">
        <f aca="false">SQRT(G125*40000/PI())</f>
        <v>10.8878732937859</v>
      </c>
      <c r="I125" s="11" t="n">
        <f aca="false">_xlfn.MAXIFS(dados!$N$2:$N$1028,dados!$I$2:$I$1028,E125)</f>
        <v>6</v>
      </c>
      <c r="J125" s="3"/>
      <c r="K125" s="3"/>
    </row>
    <row r="126" customFormat="false" ht="15" hidden="false" customHeight="false" outlineLevel="0" collapsed="false">
      <c r="A126" s="2" t="s">
        <v>32</v>
      </c>
      <c r="B126" s="2" t="s">
        <v>190</v>
      </c>
      <c r="C126" s="2" t="n">
        <v>126</v>
      </c>
      <c r="D126" s="2" t="s">
        <v>33</v>
      </c>
      <c r="E126" s="2" t="s">
        <v>213</v>
      </c>
      <c r="F126" s="6" t="n">
        <f aca="false">COUNTIF(dados!$I$2:$I$1028,E126)</f>
        <v>1</v>
      </c>
      <c r="G126" s="10" t="n">
        <f aca="false">SUMIFS(dados!$M$2:$M$1028,dados!$I$2:$I$1028,E126)</f>
        <v>0.0062388737692023</v>
      </c>
      <c r="H126" s="7" t="n">
        <f aca="false">SQRT(G126*40000/PI())</f>
        <v>8.91267681314614</v>
      </c>
      <c r="I126" s="11" t="n">
        <f aca="false">_xlfn.MAXIFS(dados!$N$2:$N$1028,dados!$I$2:$I$1028,E126)</f>
        <v>8</v>
      </c>
      <c r="J126" s="3"/>
      <c r="K126" s="3"/>
    </row>
    <row r="127" customFormat="false" ht="15" hidden="false" customHeight="false" outlineLevel="0" collapsed="false">
      <c r="A127" s="2" t="s">
        <v>32</v>
      </c>
      <c r="B127" s="2" t="s">
        <v>190</v>
      </c>
      <c r="C127" s="2" t="n">
        <v>127</v>
      </c>
      <c r="D127" s="2" t="s">
        <v>37</v>
      </c>
      <c r="E127" s="2" t="s">
        <v>214</v>
      </c>
      <c r="F127" s="6" t="n">
        <f aca="false">COUNTIF(dados!$I$2:$I$1028,E127)</f>
        <v>2</v>
      </c>
      <c r="G127" s="10" t="n">
        <f aca="false">SUMIFS(dados!$M$2:$M$1028,dados!$I$2:$I$1028,E127)</f>
        <v>0.00605584558464662</v>
      </c>
      <c r="H127" s="7" t="n">
        <f aca="false">SQRT(G127*40000/PI())</f>
        <v>8.78096923760806</v>
      </c>
      <c r="I127" s="11" t="n">
        <f aca="false">_xlfn.MAXIFS(dados!$N$2:$N$1028,dados!$I$2:$I$1028,E127)</f>
        <v>7</v>
      </c>
      <c r="J127" s="3"/>
      <c r="K127" s="3"/>
    </row>
    <row r="128" customFormat="false" ht="15" hidden="false" customHeight="false" outlineLevel="0" collapsed="false">
      <c r="A128" s="2" t="s">
        <v>32</v>
      </c>
      <c r="B128" s="2" t="s">
        <v>190</v>
      </c>
      <c r="C128" s="2" t="n">
        <v>128</v>
      </c>
      <c r="D128" s="2" t="s">
        <v>37</v>
      </c>
      <c r="E128" s="2" t="s">
        <v>215</v>
      </c>
      <c r="F128" s="6" t="n">
        <f aca="false">COUNTIF(dados!$I$2:$I$1028,E128)</f>
        <v>2</v>
      </c>
      <c r="G128" s="10" t="n">
        <f aca="false">SUMIFS(dados!$M$2:$M$1028,dados!$I$2:$I$1028,E128)</f>
        <v>0.0163133816669193</v>
      </c>
      <c r="H128" s="7" t="n">
        <f aca="false">SQRT(G128*40000/PI())</f>
        <v>14.4120930633546</v>
      </c>
      <c r="I128" s="11" t="n">
        <f aca="false">_xlfn.MAXIFS(dados!$N$2:$N$1028,dados!$I$2:$I$1028,E128)</f>
        <v>12</v>
      </c>
      <c r="J128" s="3"/>
      <c r="K128" s="3"/>
    </row>
    <row r="129" customFormat="false" ht="15" hidden="false" customHeight="false" outlineLevel="0" collapsed="false">
      <c r="A129" s="2" t="s">
        <v>32</v>
      </c>
      <c r="B129" s="2" t="s">
        <v>190</v>
      </c>
      <c r="C129" s="2" t="n">
        <v>129</v>
      </c>
      <c r="D129" s="2" t="s">
        <v>37</v>
      </c>
      <c r="E129" s="2" t="s">
        <v>216</v>
      </c>
      <c r="F129" s="6" t="n">
        <f aca="false">COUNTIF(dados!$I$2:$I$1028,E129)</f>
        <v>2</v>
      </c>
      <c r="G129" s="10" t="n">
        <f aca="false">SUMIFS(dados!$M$2:$M$1028,dados!$I$2:$I$1028,E129)</f>
        <v>0.00958908532128669</v>
      </c>
      <c r="H129" s="7" t="n">
        <f aca="false">SQRT(G129*40000/PI())</f>
        <v>11.0495260662626</v>
      </c>
      <c r="I129" s="11" t="n">
        <f aca="false">_xlfn.MAXIFS(dados!$N$2:$N$1028,dados!$I$2:$I$1028,E129)</f>
        <v>8</v>
      </c>
      <c r="J129" s="3"/>
      <c r="K129" s="3"/>
    </row>
    <row r="130" customFormat="false" ht="15" hidden="false" customHeight="false" outlineLevel="0" collapsed="false">
      <c r="A130" s="2" t="s">
        <v>32</v>
      </c>
      <c r="B130" s="2" t="s">
        <v>190</v>
      </c>
      <c r="C130" s="2" t="n">
        <v>130</v>
      </c>
      <c r="D130" s="2" t="s">
        <v>37</v>
      </c>
      <c r="E130" s="2" t="s">
        <v>217</v>
      </c>
      <c r="F130" s="6" t="n">
        <f aca="false">COUNTIF(dados!$I$2:$I$1028,E130)</f>
        <v>2</v>
      </c>
      <c r="G130" s="10" t="n">
        <f aca="false">SUMIFS(dados!$M$2:$M$1028,dados!$I$2:$I$1028,E130)</f>
        <v>0.00650943717245852</v>
      </c>
      <c r="H130" s="7" t="n">
        <f aca="false">SQRT(G130*40000/PI())</f>
        <v>9.10388533646115</v>
      </c>
      <c r="I130" s="11" t="n">
        <f aca="false">_xlfn.MAXIFS(dados!$N$2:$N$1028,dados!$I$2:$I$1028,E130)</f>
        <v>9</v>
      </c>
      <c r="J130" s="3"/>
      <c r="K130" s="3"/>
    </row>
    <row r="131" customFormat="false" ht="15" hidden="false" customHeight="false" outlineLevel="0" collapsed="false">
      <c r="A131" s="2" t="s">
        <v>32</v>
      </c>
      <c r="B131" s="2" t="s">
        <v>190</v>
      </c>
      <c r="C131" s="2" t="n">
        <v>131</v>
      </c>
      <c r="D131" s="2" t="s">
        <v>37</v>
      </c>
      <c r="E131" s="2" t="s">
        <v>218</v>
      </c>
      <c r="F131" s="6" t="n">
        <f aca="false">COUNTIF(dados!$I$2:$I$1028,E131)</f>
        <v>1</v>
      </c>
      <c r="G131" s="10" t="n">
        <f aca="false">SUMIFS(dados!$M$2:$M$1028,dados!$I$2:$I$1028,E131)</f>
        <v>0.0062388737692023</v>
      </c>
      <c r="H131" s="7" t="n">
        <f aca="false">SQRT(G131*40000/PI())</f>
        <v>8.91267681314614</v>
      </c>
      <c r="I131" s="11" t="n">
        <f aca="false">_xlfn.MAXIFS(dados!$N$2:$N$1028,dados!$I$2:$I$1028,E131)</f>
        <v>5</v>
      </c>
      <c r="J131" s="3"/>
      <c r="K131" s="3"/>
    </row>
    <row r="132" customFormat="false" ht="15" hidden="false" customHeight="false" outlineLevel="0" collapsed="false">
      <c r="A132" s="2" t="s">
        <v>32</v>
      </c>
      <c r="B132" s="2" t="s">
        <v>190</v>
      </c>
      <c r="C132" s="2" t="n">
        <v>132</v>
      </c>
      <c r="D132" s="2" t="s">
        <v>37</v>
      </c>
      <c r="E132" s="2" t="s">
        <v>219</v>
      </c>
      <c r="F132" s="6" t="n">
        <f aca="false">COUNTIF(dados!$I$2:$I$1028,E132)</f>
        <v>2</v>
      </c>
      <c r="G132" s="10" t="n">
        <f aca="false">SUMIFS(dados!$M$2:$M$1028,dados!$I$2:$I$1028,E132)</f>
        <v>0.00872964862859046</v>
      </c>
      <c r="H132" s="7" t="n">
        <f aca="false">SQRT(G132*40000/PI())</f>
        <v>10.5427386601226</v>
      </c>
      <c r="I132" s="11" t="n">
        <f aca="false">_xlfn.MAXIFS(dados!$N$2:$N$1028,dados!$I$2:$I$1028,E132)</f>
        <v>6</v>
      </c>
      <c r="J132" s="3"/>
      <c r="K132" s="3"/>
    </row>
    <row r="133" customFormat="false" ht="15" hidden="false" customHeight="false" outlineLevel="0" collapsed="false">
      <c r="A133" s="2" t="s">
        <v>32</v>
      </c>
      <c r="B133" s="2" t="s">
        <v>190</v>
      </c>
      <c r="C133" s="2" t="n">
        <v>133</v>
      </c>
      <c r="D133" s="2" t="s">
        <v>33</v>
      </c>
      <c r="E133" s="2" t="s">
        <v>220</v>
      </c>
      <c r="F133" s="6" t="n">
        <f aca="false">COUNTIF(dados!$I$2:$I$1028,E133)</f>
        <v>1</v>
      </c>
      <c r="G133" s="10" t="n">
        <f aca="false">SUMIFS(dados!$M$2:$M$1028,dados!$I$2:$I$1028,E133)</f>
        <v>0.0133769729668738</v>
      </c>
      <c r="H133" s="7" t="n">
        <f aca="false">SQRT(G133*40000/PI())</f>
        <v>13.0507053335354</v>
      </c>
      <c r="I133" s="11" t="n">
        <f aca="false">_xlfn.MAXIFS(dados!$N$2:$N$1028,dados!$I$2:$I$1028,E133)</f>
        <v>9</v>
      </c>
      <c r="J133" s="3"/>
      <c r="K133" s="3"/>
    </row>
    <row r="134" customFormat="false" ht="15" hidden="false" customHeight="false" outlineLevel="0" collapsed="false">
      <c r="A134" s="2" t="s">
        <v>32</v>
      </c>
      <c r="B134" s="2" t="s">
        <v>190</v>
      </c>
      <c r="C134" s="2" t="n">
        <v>134</v>
      </c>
      <c r="D134" s="2" t="s">
        <v>37</v>
      </c>
      <c r="E134" s="2" t="s">
        <v>221</v>
      </c>
      <c r="F134" s="6" t="n">
        <f aca="false">COUNTIF(dados!$I$2:$I$1028,E134)</f>
        <v>2</v>
      </c>
      <c r="G134" s="10" t="n">
        <f aca="false">SUMIFS(dados!$M$2:$M$1028,dados!$I$2:$I$1028,E134)</f>
        <v>0.00708239496758934</v>
      </c>
      <c r="H134" s="7" t="n">
        <f aca="false">SQRT(G134*40000/PI())</f>
        <v>9.49609674770011</v>
      </c>
      <c r="I134" s="11" t="n">
        <f aca="false">_xlfn.MAXIFS(dados!$N$2:$N$1028,dados!$I$2:$I$1028,E134)</f>
        <v>7</v>
      </c>
      <c r="J134" s="3"/>
      <c r="K134" s="3"/>
    </row>
    <row r="135" customFormat="false" ht="15" hidden="false" customHeight="false" outlineLevel="0" collapsed="false">
      <c r="A135" s="2" t="s">
        <v>32</v>
      </c>
      <c r="B135" s="2" t="s">
        <v>190</v>
      </c>
      <c r="C135" s="2" t="n">
        <v>135</v>
      </c>
      <c r="D135" s="2" t="s">
        <v>37</v>
      </c>
      <c r="E135" s="2" t="s">
        <v>222</v>
      </c>
      <c r="F135" s="6" t="n">
        <f aca="false">COUNTIF(dados!$I$2:$I$1028,E135)</f>
        <v>1</v>
      </c>
      <c r="G135" s="10" t="n">
        <f aca="false">SUMIFS(dados!$M$2:$M$1028,dados!$I$2:$I$1028,E135)</f>
        <v>0.00919915571071155</v>
      </c>
      <c r="H135" s="7" t="n">
        <f aca="false">SQRT(G135*40000/PI())</f>
        <v>10.8225361302489</v>
      </c>
      <c r="I135" s="11" t="n">
        <f aca="false">_xlfn.MAXIFS(dados!$N$2:$N$1028,dados!$I$2:$I$1028,E135)</f>
        <v>11</v>
      </c>
      <c r="J135" s="3"/>
      <c r="K135" s="3"/>
    </row>
    <row r="136" customFormat="false" ht="15" hidden="false" customHeight="false" outlineLevel="0" collapsed="false">
      <c r="A136" s="2" t="s">
        <v>32</v>
      </c>
      <c r="B136" s="2" t="s">
        <v>190</v>
      </c>
      <c r="C136" s="2" t="n">
        <v>136</v>
      </c>
      <c r="D136" s="2" t="s">
        <v>37</v>
      </c>
      <c r="E136" s="2" t="s">
        <v>223</v>
      </c>
      <c r="F136" s="6" t="n">
        <f aca="false">COUNTIF(dados!$I$2:$I$1028,E136)</f>
        <v>2</v>
      </c>
      <c r="G136" s="10" t="n">
        <f aca="false">SUMIFS(dados!$M$2:$M$1028,dados!$I$2:$I$1028,E136)</f>
        <v>0.0123504235839311</v>
      </c>
      <c r="H136" s="7" t="n">
        <f aca="false">SQRT(G136*40000/PI())</f>
        <v>12.5399552237202</v>
      </c>
      <c r="I136" s="11" t="n">
        <f aca="false">_xlfn.MAXIFS(dados!$N$2:$N$1028,dados!$I$2:$I$1028,E136)</f>
        <v>9</v>
      </c>
      <c r="J136" s="3"/>
      <c r="K136" s="3"/>
    </row>
    <row r="137" customFormat="false" ht="15" hidden="false" customHeight="false" outlineLevel="0" collapsed="false">
      <c r="A137" s="2" t="s">
        <v>32</v>
      </c>
      <c r="B137" s="2" t="s">
        <v>190</v>
      </c>
      <c r="C137" s="2" t="n">
        <v>137</v>
      </c>
      <c r="D137" s="2" t="s">
        <v>33</v>
      </c>
      <c r="E137" s="2" t="s">
        <v>224</v>
      </c>
      <c r="F137" s="6" t="n">
        <f aca="false">COUNTIF(dados!$I$2:$I$1028,E137)</f>
        <v>1</v>
      </c>
      <c r="G137" s="10" t="n">
        <f aca="false">SUMIFS(dados!$M$2:$M$1028,dados!$I$2:$I$1028,E137)</f>
        <v>0.00179049310978382</v>
      </c>
      <c r="H137" s="7" t="n">
        <f aca="false">SQRT(G137*40000/PI())</f>
        <v>4.77464829275686</v>
      </c>
      <c r="I137" s="11" t="n">
        <f aca="false">_xlfn.MAXIFS(dados!$N$2:$N$1028,dados!$I$2:$I$1028,E137)</f>
        <v>6</v>
      </c>
      <c r="J137" s="3"/>
      <c r="K137" s="3"/>
    </row>
    <row r="138" customFormat="false" ht="15" hidden="false" customHeight="false" outlineLevel="0" collapsed="false">
      <c r="A138" s="2" t="s">
        <v>32</v>
      </c>
      <c r="B138" s="2" t="s">
        <v>190</v>
      </c>
      <c r="C138" s="2" t="n">
        <v>138</v>
      </c>
      <c r="D138" s="2" t="s">
        <v>37</v>
      </c>
      <c r="E138" s="2" t="s">
        <v>225</v>
      </c>
      <c r="F138" s="6" t="n">
        <f aca="false">COUNTIF(dados!$I$2:$I$1028,E138)</f>
        <v>3</v>
      </c>
      <c r="G138" s="10" t="n">
        <f aca="false">SUMIFS(dados!$M$2:$M$1028,dados!$I$2:$I$1028,E138)</f>
        <v>0.0135759166457387</v>
      </c>
      <c r="H138" s="7" t="n">
        <f aca="false">SQRT(G138*40000/PI())</f>
        <v>13.1473928705971</v>
      </c>
      <c r="I138" s="11" t="n">
        <f aca="false">_xlfn.MAXIFS(dados!$N$2:$N$1028,dados!$I$2:$I$1028,E138)</f>
        <v>6</v>
      </c>
      <c r="J138" s="3"/>
      <c r="K138" s="3"/>
    </row>
    <row r="139" customFormat="false" ht="15" hidden="false" customHeight="false" outlineLevel="0" collapsed="false">
      <c r="A139" s="2" t="s">
        <v>32</v>
      </c>
      <c r="B139" s="2" t="s">
        <v>190</v>
      </c>
      <c r="C139" s="2" t="n">
        <v>139</v>
      </c>
      <c r="D139" s="2" t="s">
        <v>37</v>
      </c>
      <c r="E139" s="2" t="s">
        <v>226</v>
      </c>
      <c r="F139" s="6" t="n">
        <f aca="false">COUNTIF(dados!$I$2:$I$1028,E139)</f>
        <v>3</v>
      </c>
      <c r="G139" s="10" t="n">
        <f aca="false">SUMIFS(dados!$M$2:$M$1028,dados!$I$2:$I$1028,E139)</f>
        <v>0.0114750713969257</v>
      </c>
      <c r="H139" s="7" t="n">
        <f aca="false">SQRT(G139*40000/PI())</f>
        <v>12.087396196545</v>
      </c>
      <c r="I139" s="11" t="n">
        <f aca="false">_xlfn.MAXIFS(dados!$N$2:$N$1028,dados!$I$2:$I$1028,E139)</f>
        <v>12</v>
      </c>
      <c r="J139" s="3"/>
      <c r="K139" s="3"/>
    </row>
    <row r="140" customFormat="false" ht="15" hidden="false" customHeight="false" outlineLevel="0" collapsed="false">
      <c r="A140" s="2" t="s">
        <v>32</v>
      </c>
      <c r="B140" s="2" t="s">
        <v>190</v>
      </c>
      <c r="C140" s="2" t="n">
        <v>140</v>
      </c>
      <c r="D140" s="2" t="s">
        <v>37</v>
      </c>
      <c r="E140" s="2" t="s">
        <v>227</v>
      </c>
      <c r="F140" s="6" t="n">
        <f aca="false">COUNTIF(dados!$I$2:$I$1028,E140)</f>
        <v>3</v>
      </c>
      <c r="G140" s="10" t="n">
        <f aca="false">SUMIFS(dados!$M$2:$M$1028,dados!$I$2:$I$1028,E140)</f>
        <v>0.0132178180237819</v>
      </c>
      <c r="H140" s="7" t="n">
        <f aca="false">SQRT(G140*40000/PI())</f>
        <v>12.9728364681716</v>
      </c>
      <c r="I140" s="11" t="n">
        <f aca="false">_xlfn.MAXIFS(dados!$N$2:$N$1028,dados!$I$2:$I$1028,E140)</f>
        <v>5</v>
      </c>
      <c r="J140" s="3"/>
      <c r="K140" s="3"/>
    </row>
    <row r="141" customFormat="false" ht="15" hidden="false" customHeight="false" outlineLevel="0" collapsed="false">
      <c r="A141" s="2" t="s">
        <v>32</v>
      </c>
      <c r="B141" s="2" t="s">
        <v>190</v>
      </c>
      <c r="C141" s="2" t="n">
        <v>141</v>
      </c>
      <c r="D141" s="2" t="s">
        <v>37</v>
      </c>
      <c r="E141" s="2" t="s">
        <v>228</v>
      </c>
      <c r="F141" s="6" t="n">
        <f aca="false">COUNTIF(dados!$I$2:$I$1028,E141)</f>
        <v>2</v>
      </c>
      <c r="G141" s="10" t="n">
        <f aca="false">SUMIFS(dados!$M$2:$M$1028,dados!$I$2:$I$1028,E141)</f>
        <v>0.0162974661726101</v>
      </c>
      <c r="H141" s="7" t="n">
        <f aca="false">SQRT(G141*40000/PI())</f>
        <v>14.4050610585137</v>
      </c>
      <c r="I141" s="11" t="n">
        <f aca="false">_xlfn.MAXIFS(dados!$N$2:$N$1028,dados!$I$2:$I$1028,E141)</f>
        <v>11</v>
      </c>
      <c r="J141" s="3"/>
      <c r="K141" s="3"/>
    </row>
    <row r="142" customFormat="false" ht="15" hidden="false" customHeight="false" outlineLevel="0" collapsed="false">
      <c r="A142" s="2" t="s">
        <v>32</v>
      </c>
      <c r="B142" s="2" t="s">
        <v>190</v>
      </c>
      <c r="C142" s="2" t="n">
        <v>142</v>
      </c>
      <c r="D142" s="2" t="s">
        <v>37</v>
      </c>
      <c r="E142" s="2" t="s">
        <v>229</v>
      </c>
      <c r="F142" s="6" t="n">
        <f aca="false">COUNTIF(dados!$I$2:$I$1028,E142)</f>
        <v>2</v>
      </c>
      <c r="G142" s="10" t="n">
        <f aca="false">SUMIFS(dados!$M$2:$M$1028,dados!$I$2:$I$1028,E142)</f>
        <v>0.00741662034808232</v>
      </c>
      <c r="H142" s="7" t="n">
        <f aca="false">SQRT(G142*40000/PI())</f>
        <v>9.71757907889917</v>
      </c>
      <c r="I142" s="11" t="n">
        <f aca="false">_xlfn.MAXIFS(dados!$N$2:$N$1028,dados!$I$2:$I$1028,E142)</f>
        <v>4</v>
      </c>
      <c r="J142" s="3"/>
      <c r="K142" s="3"/>
    </row>
    <row r="143" customFormat="false" ht="15" hidden="false" customHeight="false" outlineLevel="0" collapsed="false">
      <c r="A143" s="2" t="s">
        <v>32</v>
      </c>
      <c r="B143" s="2" t="s">
        <v>190</v>
      </c>
      <c r="C143" s="2" t="n">
        <v>143</v>
      </c>
      <c r="D143" s="2" t="s">
        <v>37</v>
      </c>
      <c r="E143" s="2" t="s">
        <v>230</v>
      </c>
      <c r="F143" s="6" t="n">
        <f aca="false">COUNTIF(dados!$I$2:$I$1028,E143)</f>
        <v>2</v>
      </c>
      <c r="G143" s="10" t="n">
        <f aca="false">SUMIFS(dados!$M$2:$M$1028,dados!$I$2:$I$1028,E143)</f>
        <v>0.006382113217985</v>
      </c>
      <c r="H143" s="7" t="n">
        <f aca="false">SQRT(G143*40000/PI())</f>
        <v>9.01441009058024</v>
      </c>
      <c r="I143" s="11" t="n">
        <f aca="false">_xlfn.MAXIFS(dados!$N$2:$N$1028,dados!$I$2:$I$1028,E143)</f>
        <v>6</v>
      </c>
      <c r="J143" s="3"/>
      <c r="K143" s="3"/>
    </row>
    <row r="144" customFormat="false" ht="15" hidden="false" customHeight="false" outlineLevel="0" collapsed="false">
      <c r="A144" s="2" t="s">
        <v>32</v>
      </c>
      <c r="B144" s="2" t="s">
        <v>190</v>
      </c>
      <c r="C144" s="2" t="n">
        <v>144</v>
      </c>
      <c r="D144" s="2" t="s">
        <v>33</v>
      </c>
      <c r="E144" s="2" t="s">
        <v>231</v>
      </c>
      <c r="F144" s="6" t="n">
        <f aca="false">COUNTIF(dados!$I$2:$I$1028,E144)</f>
        <v>1</v>
      </c>
      <c r="G144" s="10" t="n">
        <f aca="false">SUMIFS(dados!$M$2:$M$1028,dados!$I$2:$I$1028,E144)</f>
        <v>0.00537943707650606</v>
      </c>
      <c r="H144" s="7" t="n">
        <f aca="false">SQRT(G144*40000/PI())</f>
        <v>8.27605704077856</v>
      </c>
      <c r="I144" s="11" t="n">
        <f aca="false">_xlfn.MAXIFS(dados!$N$2:$N$1028,dados!$I$2:$I$1028,E144)</f>
        <v>7</v>
      </c>
      <c r="J144" s="3"/>
      <c r="K144" s="3"/>
    </row>
    <row r="145" customFormat="false" ht="15" hidden="false" customHeight="false" outlineLevel="0" collapsed="false">
      <c r="A145" s="2" t="s">
        <v>32</v>
      </c>
      <c r="B145" s="2" t="s">
        <v>190</v>
      </c>
      <c r="C145" s="2" t="n">
        <v>145</v>
      </c>
      <c r="D145" s="2" t="s">
        <v>37</v>
      </c>
      <c r="E145" s="2" t="s">
        <v>232</v>
      </c>
      <c r="F145" s="6" t="n">
        <f aca="false">COUNTIF(dados!$I$2:$I$1028,E145)</f>
        <v>2</v>
      </c>
      <c r="G145" s="10" t="n">
        <f aca="false">SUMIFS(dados!$M$2:$M$1028,dados!$I$2:$I$1028,E145)</f>
        <v>0.0140454237278598</v>
      </c>
      <c r="H145" s="7" t="n">
        <f aca="false">SQRT(G145*40000/PI())</f>
        <v>13.3728040862314</v>
      </c>
      <c r="I145" s="11" t="n">
        <f aca="false">_xlfn.MAXIFS(dados!$N$2:$N$1028,dados!$I$2:$I$1028,E145)</f>
        <v>11</v>
      </c>
      <c r="J145" s="3"/>
      <c r="K145" s="3"/>
    </row>
    <row r="146" customFormat="false" ht="15" hidden="false" customHeight="false" outlineLevel="0" collapsed="false">
      <c r="A146" s="2" t="s">
        <v>32</v>
      </c>
      <c r="B146" s="2" t="s">
        <v>190</v>
      </c>
      <c r="C146" s="2" t="n">
        <v>146</v>
      </c>
      <c r="D146" s="2" t="s">
        <v>37</v>
      </c>
      <c r="E146" s="2" t="s">
        <v>233</v>
      </c>
      <c r="F146" s="6" t="n">
        <f aca="false">COUNTIF(dados!$I$2:$I$1028,E146)</f>
        <v>1</v>
      </c>
      <c r="G146" s="10" t="n">
        <f aca="false">SUMIFS(dados!$M$2:$M$1028,dados!$I$2:$I$1028,E146)</f>
        <v>0.00497359197162173</v>
      </c>
      <c r="H146" s="7" t="n">
        <f aca="false">SQRT(G146*40000/PI())</f>
        <v>7.95774715459477</v>
      </c>
      <c r="I146" s="11" t="n">
        <f aca="false">_xlfn.MAXIFS(dados!$N$2:$N$1028,dados!$I$2:$I$1028,E146)</f>
        <v>5</v>
      </c>
      <c r="J146" s="3"/>
      <c r="K146" s="3"/>
    </row>
    <row r="147" customFormat="false" ht="15" hidden="false" customHeight="false" outlineLevel="0" collapsed="false">
      <c r="A147" s="2" t="s">
        <v>32</v>
      </c>
      <c r="B147" s="2" t="s">
        <v>190</v>
      </c>
      <c r="C147" s="2" t="n">
        <v>147</v>
      </c>
      <c r="D147" s="2" t="s">
        <v>48</v>
      </c>
      <c r="E147" s="2" t="s">
        <v>234</v>
      </c>
      <c r="F147" s="6" t="n">
        <f aca="false">COUNTIF(dados!$I$2:$I$1028,E147)</f>
        <v>1</v>
      </c>
      <c r="G147" s="10" t="n">
        <f aca="false">SUMIFS(dados!$M$2:$M$1028,dados!$I$2:$I$1028,E147)</f>
        <v>0.0424068345868355</v>
      </c>
      <c r="H147" s="7" t="n">
        <f aca="false">SQRT(G147*40000/PI())</f>
        <v>23.2366216914167</v>
      </c>
      <c r="I147" s="11" t="n">
        <f aca="false">_xlfn.MAXIFS(dados!$N$2:$N$1028,dados!$I$2:$I$1028,E147)</f>
        <v>11</v>
      </c>
      <c r="J147" s="3"/>
      <c r="K147" s="3"/>
    </row>
    <row r="148" customFormat="false" ht="15" hidden="false" customHeight="false" outlineLevel="0" collapsed="false">
      <c r="A148" s="2" t="s">
        <v>32</v>
      </c>
      <c r="B148" s="2" t="s">
        <v>190</v>
      </c>
      <c r="C148" s="2" t="n">
        <v>148</v>
      </c>
      <c r="D148" s="2" t="s">
        <v>33</v>
      </c>
      <c r="E148" s="2" t="s">
        <v>235</v>
      </c>
      <c r="F148" s="6" t="n">
        <f aca="false">COUNTIF(dados!$I$2:$I$1028,E148)</f>
        <v>1</v>
      </c>
      <c r="G148" s="10" t="n">
        <f aca="false">SUMIFS(dados!$M$2:$M$1028,dados!$I$2:$I$1028,E148)</f>
        <v>0.00974824026437859</v>
      </c>
      <c r="H148" s="7" t="n">
        <f aca="false">SQRT(G148*40000/PI())</f>
        <v>11.1408460164327</v>
      </c>
      <c r="I148" s="11" t="n">
        <f aca="false">_xlfn.MAXIFS(dados!$N$2:$N$1028,dados!$I$2:$I$1028,E148)</f>
        <v>12</v>
      </c>
      <c r="J148" s="3"/>
      <c r="K148" s="3"/>
    </row>
    <row r="149" customFormat="false" ht="15" hidden="false" customHeight="false" outlineLevel="0" collapsed="false">
      <c r="A149" s="2" t="s">
        <v>32</v>
      </c>
      <c r="B149" s="2" t="s">
        <v>190</v>
      </c>
      <c r="C149" s="2" t="n">
        <v>149</v>
      </c>
      <c r="D149" s="2" t="s">
        <v>37</v>
      </c>
      <c r="E149" s="2" t="s">
        <v>236</v>
      </c>
      <c r="F149" s="6" t="n">
        <f aca="false">COUNTIF(dados!$I$2:$I$1028,E149)</f>
        <v>1</v>
      </c>
      <c r="G149" s="10" t="n">
        <f aca="false">SUMIFS(dados!$M$2:$M$1028,dados!$I$2:$I$1028,E149)</f>
        <v>0.00764739501556557</v>
      </c>
      <c r="H149" s="7" t="n">
        <f aca="false">SQRT(G149*40000/PI())</f>
        <v>9.86760647169751</v>
      </c>
      <c r="I149" s="11" t="n">
        <f aca="false">_xlfn.MAXIFS(dados!$N$2:$N$1028,dados!$I$2:$I$1028,E149)</f>
        <v>8</v>
      </c>
      <c r="J149" s="3"/>
      <c r="K149" s="3"/>
    </row>
    <row r="150" customFormat="false" ht="15" hidden="false" customHeight="false" outlineLevel="0" collapsed="false">
      <c r="A150" s="2" t="s">
        <v>32</v>
      </c>
      <c r="B150" s="2" t="s">
        <v>190</v>
      </c>
      <c r="C150" s="2" t="n">
        <v>150</v>
      </c>
      <c r="D150" s="2" t="s">
        <v>33</v>
      </c>
      <c r="E150" s="2" t="s">
        <v>237</v>
      </c>
      <c r="F150" s="6" t="n">
        <f aca="false">COUNTIF(dados!$I$2:$I$1028,E150)</f>
        <v>1</v>
      </c>
      <c r="G150" s="10" t="n">
        <f aca="false">SUMIFS(dados!$M$2:$M$1028,dados!$I$2:$I$1028,E150)</f>
        <v>0.00229978892767789</v>
      </c>
      <c r="H150" s="7" t="n">
        <f aca="false">SQRT(G150*40000/PI())</f>
        <v>5.41126806512444</v>
      </c>
      <c r="I150" s="11" t="n">
        <f aca="false">_xlfn.MAXIFS(dados!$N$2:$N$1028,dados!$I$2:$I$1028,E150)</f>
        <v>5</v>
      </c>
      <c r="J150" s="3"/>
      <c r="K150" s="3"/>
    </row>
    <row r="151" customFormat="false" ht="15" hidden="false" customHeight="false" outlineLevel="0" collapsed="false">
      <c r="A151" s="2" t="s">
        <v>32</v>
      </c>
      <c r="B151" s="2" t="s">
        <v>190</v>
      </c>
      <c r="C151" s="2" t="n">
        <v>151</v>
      </c>
      <c r="D151" s="2" t="s">
        <v>37</v>
      </c>
      <c r="E151" s="2" t="s">
        <v>238</v>
      </c>
      <c r="F151" s="6" t="n">
        <f aca="false">COUNTIF(dados!$I$2:$I$1028,E151)</f>
        <v>2</v>
      </c>
      <c r="G151" s="10" t="n">
        <f aca="false">SUMIFS(dados!$M$2:$M$1028,dados!$I$2:$I$1028,E151)</f>
        <v>0.0397887357729738</v>
      </c>
      <c r="H151" s="7" t="n">
        <f aca="false">SQRT(G151*40000/PI())</f>
        <v>22.5079079039277</v>
      </c>
      <c r="I151" s="11" t="n">
        <f aca="false">_xlfn.MAXIFS(dados!$N$2:$N$1028,dados!$I$2:$I$1028,E151)</f>
        <v>10</v>
      </c>
      <c r="J151" s="3"/>
      <c r="K151" s="3"/>
    </row>
    <row r="152" customFormat="false" ht="15" hidden="false" customHeight="false" outlineLevel="0" collapsed="false">
      <c r="A152" s="2" t="s">
        <v>32</v>
      </c>
      <c r="B152" s="2" t="s">
        <v>190</v>
      </c>
      <c r="C152" s="2" t="n">
        <v>152</v>
      </c>
      <c r="D152" s="2" t="s">
        <v>37</v>
      </c>
      <c r="E152" s="2" t="s">
        <v>239</v>
      </c>
      <c r="F152" s="6" t="n">
        <f aca="false">COUNTIF(dados!$I$2:$I$1028,E152)</f>
        <v>1</v>
      </c>
      <c r="G152" s="10" t="n">
        <f aca="false">SUMIFS(dados!$M$2:$M$1028,dados!$I$2:$I$1028,E152)</f>
        <v>0.00203718327157626</v>
      </c>
      <c r="H152" s="7" t="n">
        <f aca="false">SQRT(G152*40000/PI())</f>
        <v>5.09295817894065</v>
      </c>
      <c r="I152" s="11" t="n">
        <f aca="false">_xlfn.MAXIFS(dados!$N$2:$N$1028,dados!$I$2:$I$1028,E152)</f>
        <v>5</v>
      </c>
      <c r="J152" s="3"/>
      <c r="K152" s="3"/>
    </row>
    <row r="153" customFormat="false" ht="15" hidden="false" customHeight="false" outlineLevel="0" collapsed="false">
      <c r="A153" s="2" t="s">
        <v>32</v>
      </c>
      <c r="B153" s="2" t="s">
        <v>190</v>
      </c>
      <c r="C153" s="2" t="n">
        <v>153</v>
      </c>
      <c r="D153" s="2" t="s">
        <v>37</v>
      </c>
      <c r="E153" s="2" t="s">
        <v>240</v>
      </c>
      <c r="F153" s="6" t="n">
        <f aca="false">COUNTIF(dados!$I$2:$I$1028,E153)</f>
        <v>1</v>
      </c>
      <c r="G153" s="10" t="n">
        <f aca="false">SUMIFS(dados!$M$2:$M$1028,dados!$I$2:$I$1028,E153)</f>
        <v>0.00764739501556557</v>
      </c>
      <c r="H153" s="7" t="n">
        <f aca="false">SQRT(G153*40000/PI())</f>
        <v>9.86760647169751</v>
      </c>
      <c r="I153" s="11" t="n">
        <f aca="false">_xlfn.MAXIFS(dados!$N$2:$N$1028,dados!$I$2:$I$1028,E153)</f>
        <v>5</v>
      </c>
      <c r="J153" s="3"/>
      <c r="K153" s="3"/>
    </row>
    <row r="154" customFormat="false" ht="15" hidden="false" customHeight="false" outlineLevel="0" collapsed="false">
      <c r="A154" s="2" t="s">
        <v>32</v>
      </c>
      <c r="B154" s="2" t="s">
        <v>190</v>
      </c>
      <c r="C154" s="2" t="n">
        <v>154</v>
      </c>
      <c r="D154" s="2" t="s">
        <v>37</v>
      </c>
      <c r="E154" s="2" t="s">
        <v>241</v>
      </c>
      <c r="F154" s="6" t="n">
        <f aca="false">COUNTIF(dados!$I$2:$I$1028,E154)</f>
        <v>1</v>
      </c>
      <c r="G154" s="10" t="n">
        <f aca="false">SUMIFS(dados!$M$2:$M$1028,dados!$I$2:$I$1028,E154)</f>
        <v>0.0161144379880544</v>
      </c>
      <c r="H154" s="7" t="n">
        <f aca="false">SQRT(G154*40000/PI())</f>
        <v>14.3239448782706</v>
      </c>
      <c r="I154" s="11" t="n">
        <f aca="false">_xlfn.MAXIFS(dados!$N$2:$N$1028,dados!$I$2:$I$1028,E154)</f>
        <v>13</v>
      </c>
      <c r="J154" s="3"/>
      <c r="K154" s="3"/>
    </row>
    <row r="155" customFormat="false" ht="15" hidden="false" customHeight="false" outlineLevel="0" collapsed="false">
      <c r="A155" s="2" t="s">
        <v>32</v>
      </c>
      <c r="B155" s="2" t="s">
        <v>190</v>
      </c>
      <c r="C155" s="2" t="n">
        <v>155</v>
      </c>
      <c r="D155" s="2" t="s">
        <v>48</v>
      </c>
      <c r="E155" s="2" t="s">
        <v>242</v>
      </c>
      <c r="F155" s="6" t="n">
        <f aca="false">COUNTIF(dados!$I$2:$I$1028,E155)</f>
        <v>1</v>
      </c>
      <c r="G155" s="10" t="n">
        <f aca="false">SUMIFS(dados!$M$2:$M$1028,dados!$I$2:$I$1028,E155)</f>
        <v>0.0630333152115452</v>
      </c>
      <c r="H155" s="7" t="n">
        <f aca="false">SQRT(G155*40000/PI())</f>
        <v>28.3295798703574</v>
      </c>
      <c r="I155" s="11" t="n">
        <f aca="false">_xlfn.MAXIFS(dados!$N$2:$N$1028,dados!$I$2:$I$1028,E155)</f>
        <v>12</v>
      </c>
      <c r="J155" s="3"/>
      <c r="K155" s="3"/>
    </row>
    <row r="156" customFormat="false" ht="15" hidden="false" customHeight="false" outlineLevel="0" collapsed="false">
      <c r="A156" s="2" t="s">
        <v>32</v>
      </c>
      <c r="B156" s="2" t="s">
        <v>190</v>
      </c>
      <c r="C156" s="2" t="n">
        <v>156</v>
      </c>
      <c r="D156" s="2" t="s">
        <v>37</v>
      </c>
      <c r="E156" s="2" t="s">
        <v>243</v>
      </c>
      <c r="F156" s="6" t="n">
        <f aca="false">COUNTIF(dados!$I$2:$I$1028,E156)</f>
        <v>4</v>
      </c>
      <c r="G156" s="10" t="n">
        <f aca="false">SUMIFS(dados!$M$2:$M$1028,dados!$I$2:$I$1028,E156)</f>
        <v>0.0175229592344177</v>
      </c>
      <c r="H156" s="7" t="n">
        <f aca="false">SQRT(G156*40000/PI())</f>
        <v>14.9368419145557</v>
      </c>
      <c r="I156" s="11" t="n">
        <f aca="false">_xlfn.MAXIFS(dados!$N$2:$N$1028,dados!$I$2:$I$1028,E156)</f>
        <v>10</v>
      </c>
      <c r="J156" s="3"/>
      <c r="K156" s="3"/>
    </row>
    <row r="157" customFormat="false" ht="15" hidden="false" customHeight="false" outlineLevel="0" collapsed="false">
      <c r="A157" s="2" t="s">
        <v>32</v>
      </c>
      <c r="B157" s="2" t="s">
        <v>190</v>
      </c>
      <c r="C157" s="2" t="n">
        <v>157</v>
      </c>
      <c r="D157" s="2" t="s">
        <v>37</v>
      </c>
      <c r="E157" s="2" t="s">
        <v>244</v>
      </c>
      <c r="F157" s="6" t="n">
        <f aca="false">COUNTIF(dados!$I$2:$I$1028,E157)</f>
        <v>1</v>
      </c>
      <c r="G157" s="10" t="n">
        <f aca="false">SUMIFS(dados!$M$2:$M$1028,dados!$I$2:$I$1028,E157)</f>
        <v>0.0223533117572567</v>
      </c>
      <c r="H157" s="7" t="n">
        <f aca="false">SQRT(G157*40000/PI())</f>
        <v>16.8704239677409</v>
      </c>
      <c r="I157" s="11" t="n">
        <f aca="false">_xlfn.MAXIFS(dados!$N$2:$N$1028,dados!$I$2:$I$1028,E157)</f>
        <v>11</v>
      </c>
      <c r="J157" s="3"/>
      <c r="K157" s="3"/>
    </row>
    <row r="158" customFormat="false" ht="15" hidden="false" customHeight="false" outlineLevel="0" collapsed="false">
      <c r="A158" s="2" t="s">
        <v>32</v>
      </c>
      <c r="B158" s="2" t="s">
        <v>190</v>
      </c>
      <c r="C158" s="2" t="n">
        <v>158</v>
      </c>
      <c r="D158" s="2" t="s">
        <v>37</v>
      </c>
      <c r="E158" s="2" t="s">
        <v>245</v>
      </c>
      <c r="F158" s="6" t="n">
        <f aca="false">COUNTIF(dados!$I$2:$I$1028,E158)</f>
        <v>2</v>
      </c>
      <c r="G158" s="10" t="n">
        <f aca="false">SUMIFS(dados!$M$2:$M$1028,dados!$I$2:$I$1028,E158)</f>
        <v>0.008817183847291</v>
      </c>
      <c r="H158" s="7" t="n">
        <f aca="false">SQRT(G158*40000/PI())</f>
        <v>10.5954646653986</v>
      </c>
      <c r="I158" s="11" t="n">
        <f aca="false">_xlfn.MAXIFS(dados!$N$2:$N$1028,dados!$I$2:$I$1028,E158)</f>
        <v>9</v>
      </c>
      <c r="J158" s="3"/>
      <c r="K158" s="3"/>
    </row>
    <row r="159" customFormat="false" ht="15" hidden="false" customHeight="false" outlineLevel="0" collapsed="false">
      <c r="A159" s="2" t="s">
        <v>32</v>
      </c>
      <c r="B159" s="2" t="s">
        <v>190</v>
      </c>
      <c r="C159" s="2" t="n">
        <v>159</v>
      </c>
      <c r="D159" s="2" t="s">
        <v>37</v>
      </c>
      <c r="E159" s="2" t="s">
        <v>246</v>
      </c>
      <c r="F159" s="6" t="n">
        <f aca="false">COUNTIF(dados!$I$2:$I$1028,E159)</f>
        <v>1</v>
      </c>
      <c r="G159" s="10" t="n">
        <f aca="false">SUMIFS(dados!$M$2:$M$1028,dados!$I$2:$I$1028,E159)</f>
        <v>0.0232047907027983</v>
      </c>
      <c r="H159" s="7" t="n">
        <f aca="false">SQRT(G159*40000/PI())</f>
        <v>17.1887338539247</v>
      </c>
      <c r="I159" s="11" t="n">
        <f aca="false">_xlfn.MAXIFS(dados!$N$2:$N$1028,dados!$I$2:$I$1028,E159)</f>
        <v>12</v>
      </c>
      <c r="J159" s="3"/>
      <c r="K159" s="3"/>
    </row>
    <row r="160" customFormat="false" ht="15" hidden="false" customHeight="false" outlineLevel="0" collapsed="false">
      <c r="A160" s="2" t="s">
        <v>32</v>
      </c>
      <c r="B160" s="2" t="s">
        <v>190</v>
      </c>
      <c r="C160" s="2" t="n">
        <v>160</v>
      </c>
      <c r="D160" s="2" t="s">
        <v>37</v>
      </c>
      <c r="E160" s="2" t="s">
        <v>247</v>
      </c>
      <c r="F160" s="6" t="n">
        <f aca="false">COUNTIF(dados!$I$2:$I$1028,E160)</f>
        <v>1</v>
      </c>
      <c r="G160" s="10" t="n">
        <f aca="false">SUMIFS(dados!$M$2:$M$1028,dados!$I$2:$I$1028,E160)</f>
        <v>0.0025783100780887</v>
      </c>
      <c r="H160" s="7" t="n">
        <f aca="false">SQRT(G160*40000/PI())</f>
        <v>5.72957795130823</v>
      </c>
      <c r="I160" s="11" t="n">
        <f aca="false">_xlfn.MAXIFS(dados!$N$2:$N$1028,dados!$I$2:$I$1028,E160)</f>
        <v>5</v>
      </c>
      <c r="J160" s="3"/>
      <c r="K160" s="3"/>
    </row>
    <row r="161" customFormat="false" ht="15" hidden="false" customHeight="false" outlineLevel="0" collapsed="false">
      <c r="A161" s="2" t="s">
        <v>32</v>
      </c>
      <c r="B161" s="2" t="s">
        <v>190</v>
      </c>
      <c r="C161" s="2" t="n">
        <v>161</v>
      </c>
      <c r="D161" s="2" t="s">
        <v>37</v>
      </c>
      <c r="E161" s="2" t="s">
        <v>248</v>
      </c>
      <c r="F161" s="6" t="n">
        <f aca="false">COUNTIF(dados!$I$2:$I$1028,E161)</f>
        <v>1</v>
      </c>
      <c r="G161" s="10" t="n">
        <f aca="false">SUMIFS(dados!$M$2:$M$1028,dados!$I$2:$I$1028,E161)</f>
        <v>0.00229978892767789</v>
      </c>
      <c r="H161" s="7" t="n">
        <f aca="false">SQRT(G161*40000/PI())</f>
        <v>5.41126806512444</v>
      </c>
      <c r="I161" s="11" t="n">
        <f aca="false">_xlfn.MAXIFS(dados!$N$2:$N$1028,dados!$I$2:$I$1028,E161)</f>
        <v>5</v>
      </c>
      <c r="J161" s="3"/>
      <c r="K161" s="3"/>
    </row>
    <row r="162" customFormat="false" ht="15" hidden="false" customHeight="false" outlineLevel="0" collapsed="false">
      <c r="A162" s="2" t="s">
        <v>32</v>
      </c>
      <c r="B162" s="2" t="s">
        <v>190</v>
      </c>
      <c r="C162" s="2" t="n">
        <v>162</v>
      </c>
      <c r="D162" s="2" t="s">
        <v>48</v>
      </c>
      <c r="E162" s="2" t="s">
        <v>249</v>
      </c>
      <c r="F162" s="6" t="n">
        <f aca="false">COUNTIF(dados!$I$2:$I$1028,E162)</f>
        <v>1</v>
      </c>
      <c r="G162" s="10" t="n">
        <f aca="false">SUMIFS(dados!$M$2:$M$1028,dados!$I$2:$I$1028,E162)</f>
        <v>0.0215177483060242</v>
      </c>
      <c r="H162" s="7" t="n">
        <f aca="false">SQRT(G162*40000/PI())</f>
        <v>16.5521140815571</v>
      </c>
      <c r="I162" s="11" t="n">
        <f aca="false">_xlfn.MAXIFS(dados!$N$2:$N$1028,dados!$I$2:$I$1028,E162)</f>
        <v>10</v>
      </c>
      <c r="J162" s="3"/>
      <c r="K162" s="3"/>
    </row>
    <row r="163" customFormat="false" ht="15" hidden="false" customHeight="false" outlineLevel="0" collapsed="false">
      <c r="A163" s="2" t="s">
        <v>32</v>
      </c>
      <c r="B163" s="2" t="s">
        <v>190</v>
      </c>
      <c r="C163" s="2" t="n">
        <v>163</v>
      </c>
      <c r="D163" s="2" t="s">
        <v>37</v>
      </c>
      <c r="E163" s="2" t="s">
        <v>250</v>
      </c>
      <c r="F163" s="6" t="n">
        <f aca="false">COUNTIF(dados!$I$2:$I$1028,E163)</f>
        <v>1</v>
      </c>
      <c r="G163" s="10" t="n">
        <f aca="false">SUMIFS(dados!$M$2:$M$1028,dados!$I$2:$I$1028,E163)</f>
        <v>0.0066924653570142</v>
      </c>
      <c r="H163" s="7" t="n">
        <f aca="false">SQRT(G163*40000/PI())</f>
        <v>9.23098669932993</v>
      </c>
      <c r="I163" s="11" t="n">
        <f aca="false">_xlfn.MAXIFS(dados!$N$2:$N$1028,dados!$I$2:$I$1028,E163)</f>
        <v>10</v>
      </c>
      <c r="J163" s="3"/>
      <c r="K163" s="3"/>
    </row>
    <row r="164" customFormat="false" ht="15" hidden="false" customHeight="false" outlineLevel="0" collapsed="false">
      <c r="A164" s="2" t="s">
        <v>32</v>
      </c>
      <c r="B164" s="2" t="s">
        <v>190</v>
      </c>
      <c r="C164" s="2" t="n">
        <v>164</v>
      </c>
      <c r="D164" s="2" t="s">
        <v>37</v>
      </c>
      <c r="E164" s="2" t="s">
        <v>251</v>
      </c>
      <c r="F164" s="6" t="n">
        <f aca="false">COUNTIF(dados!$I$2:$I$1028,E164)</f>
        <v>3</v>
      </c>
      <c r="G164" s="10" t="n">
        <f aca="false">SUMIFS(dados!$M$2:$M$1028,dados!$I$2:$I$1028,E164)</f>
        <v>0.0105519727269927</v>
      </c>
      <c r="H164" s="7" t="n">
        <f aca="false">SQRT(G164*40000/PI())</f>
        <v>11.5910262492042</v>
      </c>
      <c r="I164" s="11" t="n">
        <f aca="false">_xlfn.MAXIFS(dados!$N$2:$N$1028,dados!$I$2:$I$1028,E164)</f>
        <v>4</v>
      </c>
      <c r="J164" s="3"/>
      <c r="K164" s="3"/>
    </row>
    <row r="165" customFormat="false" ht="15" hidden="false" customHeight="false" outlineLevel="0" collapsed="false">
      <c r="A165" s="2" t="s">
        <v>32</v>
      </c>
      <c r="B165" s="2" t="s">
        <v>190</v>
      </c>
      <c r="C165" s="2" t="n">
        <v>165</v>
      </c>
      <c r="D165" s="2" t="s">
        <v>37</v>
      </c>
      <c r="E165" s="2" t="s">
        <v>252</v>
      </c>
      <c r="F165" s="6" t="n">
        <f aca="false">COUNTIF(dados!$I$2:$I$1028,E165)</f>
        <v>1</v>
      </c>
      <c r="G165" s="10" t="n">
        <f aca="false">SUMIFS(dados!$M$2:$M$1028,dados!$I$2:$I$1028,E165)</f>
        <v>0.0154061984912955</v>
      </c>
      <c r="H165" s="7" t="n">
        <f aca="false">SQRT(G165*40000/PI())</f>
        <v>14.0056349920868</v>
      </c>
      <c r="I165" s="11" t="n">
        <f aca="false">_xlfn.MAXIFS(dados!$N$2:$N$1028,dados!$I$2:$I$1028,E165)</f>
        <v>12</v>
      </c>
      <c r="J165" s="3"/>
      <c r="K165" s="3"/>
    </row>
    <row r="166" customFormat="false" ht="15" hidden="false" customHeight="false" outlineLevel="0" collapsed="false">
      <c r="A166" s="2" t="s">
        <v>32</v>
      </c>
      <c r="B166" s="2" t="s">
        <v>190</v>
      </c>
      <c r="C166" s="2" t="n">
        <v>166</v>
      </c>
      <c r="D166" s="2" t="s">
        <v>37</v>
      </c>
      <c r="E166" s="2" t="s">
        <v>253</v>
      </c>
      <c r="F166" s="6" t="n">
        <f aca="false">COUNTIF(dados!$I$2:$I$1028,E166)</f>
        <v>4</v>
      </c>
      <c r="G166" s="10" t="n">
        <f aca="false">SUMIFS(dados!$M$2:$M$1028,dados!$I$2:$I$1028,E166)</f>
        <v>0.0188439452620804</v>
      </c>
      <c r="H166" s="7" t="n">
        <f aca="false">SQRT(G166*40000/PI())</f>
        <v>15.489627589618</v>
      </c>
      <c r="I166" s="11" t="n">
        <f aca="false">_xlfn.MAXIFS(dados!$N$2:$N$1028,dados!$I$2:$I$1028,E166)</f>
        <v>9</v>
      </c>
      <c r="J166" s="3"/>
      <c r="K166" s="3"/>
    </row>
    <row r="167" customFormat="false" ht="15" hidden="false" customHeight="false" outlineLevel="0" collapsed="false">
      <c r="A167" s="2" t="s">
        <v>32</v>
      </c>
      <c r="B167" s="2" t="s">
        <v>190</v>
      </c>
      <c r="C167" s="2" t="n">
        <v>167</v>
      </c>
      <c r="D167" s="2" t="s">
        <v>37</v>
      </c>
      <c r="E167" s="2" t="s">
        <v>254</v>
      </c>
      <c r="F167" s="6" t="n">
        <f aca="false">COUNTIF(dados!$I$2:$I$1028,E167)</f>
        <v>1</v>
      </c>
      <c r="G167" s="10" t="n">
        <f aca="false">SUMIFS(dados!$M$2:$M$1028,dados!$I$2:$I$1028,E167)</f>
        <v>0.00458366236104659</v>
      </c>
      <c r="H167" s="7" t="n">
        <f aca="false">SQRT(G167*40000/PI())</f>
        <v>7.63943726841098</v>
      </c>
      <c r="I167" s="11" t="n">
        <f aca="false">_xlfn.MAXIFS(dados!$N$2:$N$1028,dados!$I$2:$I$1028,E167)</f>
        <v>9</v>
      </c>
      <c r="J167" s="3"/>
      <c r="K167" s="3"/>
    </row>
    <row r="168" customFormat="false" ht="15" hidden="false" customHeight="false" outlineLevel="0" collapsed="false">
      <c r="A168" s="2" t="s">
        <v>32</v>
      </c>
      <c r="B168" s="2" t="s">
        <v>190</v>
      </c>
      <c r="C168" s="2" t="n">
        <v>168</v>
      </c>
      <c r="D168" s="2" t="s">
        <v>37</v>
      </c>
      <c r="E168" s="2" t="s">
        <v>255</v>
      </c>
      <c r="F168" s="6" t="n">
        <f aca="false">COUNTIF(dados!$I$2:$I$1028,E168)</f>
        <v>4</v>
      </c>
      <c r="G168" s="10" t="n">
        <f aca="false">SUMIFS(dados!$M$2:$M$1028,dados!$I$2:$I$1028,E168)</f>
        <v>0.0236106358076827</v>
      </c>
      <c r="H168" s="7" t="n">
        <f aca="false">SQRT(G168*40000/PI())</f>
        <v>17.3383953082982</v>
      </c>
      <c r="I168" s="11" t="n">
        <f aca="false">_xlfn.MAXIFS(dados!$N$2:$N$1028,dados!$I$2:$I$1028,E168)</f>
        <v>10</v>
      </c>
      <c r="J168" s="3"/>
      <c r="K168" s="3"/>
    </row>
    <row r="169" customFormat="false" ht="15" hidden="false" customHeight="false" outlineLevel="0" collapsed="false">
      <c r="A169" s="2" t="s">
        <v>32</v>
      </c>
      <c r="B169" s="2" t="s">
        <v>190</v>
      </c>
      <c r="C169" s="2" t="n">
        <v>169</v>
      </c>
      <c r="D169" s="2" t="s">
        <v>37</v>
      </c>
      <c r="E169" s="2" t="s">
        <v>256</v>
      </c>
      <c r="F169" s="6" t="n">
        <f aca="false">COUNTIF(dados!$I$2:$I$1028,E169)</f>
        <v>2</v>
      </c>
      <c r="G169" s="10" t="n">
        <f aca="false">SUMIFS(dados!$M$2:$M$1028,dados!$I$2:$I$1028,E169)</f>
        <v>0.014904860420556</v>
      </c>
      <c r="H169" s="7" t="n">
        <f aca="false">SQRT(G169*40000/PI())</f>
        <v>13.7758693722791</v>
      </c>
      <c r="I169" s="11" t="n">
        <f aca="false">_xlfn.MAXIFS(dados!$N$2:$N$1028,dados!$I$2:$I$1028,E169)</f>
        <v>10</v>
      </c>
      <c r="J169" s="3"/>
      <c r="K169" s="3"/>
    </row>
    <row r="170" customFormat="false" ht="15" hidden="false" customHeight="false" outlineLevel="0" collapsed="false">
      <c r="A170" s="2" t="s">
        <v>32</v>
      </c>
      <c r="B170" s="2" t="s">
        <v>190</v>
      </c>
      <c r="C170" s="2" t="n">
        <v>170</v>
      </c>
      <c r="D170" s="2" t="s">
        <v>37</v>
      </c>
      <c r="E170" s="2" t="s">
        <v>257</v>
      </c>
      <c r="F170" s="6" t="n">
        <f aca="false">COUNTIF(dados!$I$2:$I$1028,E170)</f>
        <v>1</v>
      </c>
      <c r="G170" s="10" t="n">
        <f aca="false">SUMIFS(dados!$M$2:$M$1028,dados!$I$2:$I$1028,E170)</f>
        <v>0.0025783100780887</v>
      </c>
      <c r="H170" s="7" t="n">
        <f aca="false">SQRT(G170*40000/PI())</f>
        <v>5.72957795130823</v>
      </c>
      <c r="I170" s="11" t="n">
        <f aca="false">_xlfn.MAXIFS(dados!$N$2:$N$1028,dados!$I$2:$I$1028,E170)</f>
        <v>4</v>
      </c>
      <c r="J170" s="3"/>
      <c r="K170" s="3"/>
    </row>
    <row r="171" customFormat="false" ht="15" hidden="false" customHeight="false" outlineLevel="0" collapsed="false">
      <c r="A171" s="2" t="s">
        <v>32</v>
      </c>
      <c r="B171" s="2" t="s">
        <v>258</v>
      </c>
      <c r="C171" s="2" t="n">
        <v>171</v>
      </c>
      <c r="D171" s="2" t="s">
        <v>37</v>
      </c>
      <c r="E171" s="2" t="s">
        <v>259</v>
      </c>
      <c r="F171" s="6" t="n">
        <f aca="false">COUNTIF(dados!$I$2:$I$1028,E171)</f>
        <v>3</v>
      </c>
      <c r="G171" s="10" t="n">
        <f aca="false">SUMIFS(dados!$M$2:$M$1028,dados!$I$2:$I$1028,E171)</f>
        <v>0.00880922610013641</v>
      </c>
      <c r="H171" s="7" t="n">
        <f aca="false">SQRT(G171*40000/PI())</f>
        <v>10.5906822392171</v>
      </c>
      <c r="I171" s="11" t="n">
        <f aca="false">_xlfn.MAXIFS(dados!$N$2:$N$1028,dados!$I$2:$I$1028,E171)</f>
        <v>8</v>
      </c>
      <c r="J171" s="3"/>
      <c r="K171" s="3"/>
    </row>
    <row r="172" customFormat="false" ht="15" hidden="false" customHeight="false" outlineLevel="0" collapsed="false">
      <c r="A172" s="2" t="s">
        <v>32</v>
      </c>
      <c r="B172" s="2" t="s">
        <v>258</v>
      </c>
      <c r="C172" s="2" t="n">
        <v>172</v>
      </c>
      <c r="D172" s="2" t="s">
        <v>37</v>
      </c>
      <c r="E172" s="2" t="s">
        <v>260</v>
      </c>
      <c r="F172" s="6" t="n">
        <f aca="false">COUNTIF(dados!$I$2:$I$1028,E172)</f>
        <v>1</v>
      </c>
      <c r="G172" s="10" t="n">
        <f aca="false">SUMIFS(dados!$M$2:$M$1028,dados!$I$2:$I$1028,E172)</f>
        <v>0.00420964824478063</v>
      </c>
      <c r="H172" s="7" t="n">
        <f aca="false">SQRT(G172*40000/PI())</f>
        <v>7.32112738222719</v>
      </c>
      <c r="I172" s="11" t="n">
        <f aca="false">_xlfn.MAXIFS(dados!$N$2:$N$1028,dados!$I$2:$I$1028,E172)</f>
        <v>9</v>
      </c>
      <c r="J172" s="3"/>
      <c r="K172" s="3"/>
    </row>
    <row r="173" customFormat="false" ht="15" hidden="false" customHeight="false" outlineLevel="0" collapsed="false">
      <c r="A173" s="2" t="s">
        <v>32</v>
      </c>
      <c r="B173" s="2" t="s">
        <v>258</v>
      </c>
      <c r="C173" s="2" t="n">
        <v>173</v>
      </c>
      <c r="D173" s="2" t="s">
        <v>33</v>
      </c>
      <c r="E173" s="2" t="s">
        <v>261</v>
      </c>
      <c r="F173" s="6" t="n">
        <f aca="false">COUNTIF(dados!$I$2:$I$1028,E173)</f>
        <v>2</v>
      </c>
      <c r="G173" s="10" t="n">
        <f aca="false">SUMIFS(dados!$M$2:$M$1028,dados!$I$2:$I$1028,E173)</f>
        <v>0.0080611978676045</v>
      </c>
      <c r="H173" s="7" t="n">
        <f aca="false">SQRT(G173*40000/PI())</f>
        <v>10.1310591267492</v>
      </c>
      <c r="I173" s="11" t="n">
        <f aca="false">_xlfn.MAXIFS(dados!$N$2:$N$1028,dados!$I$2:$I$1028,E173)</f>
        <v>10</v>
      </c>
      <c r="J173" s="3"/>
      <c r="K173" s="3"/>
    </row>
    <row r="174" customFormat="false" ht="15" hidden="false" customHeight="false" outlineLevel="0" collapsed="false">
      <c r="A174" s="2" t="s">
        <v>32</v>
      </c>
      <c r="B174" s="2" t="s">
        <v>258</v>
      </c>
      <c r="C174" s="2" t="n">
        <v>174</v>
      </c>
      <c r="D174" s="2" t="s">
        <v>33</v>
      </c>
      <c r="E174" s="2" t="s">
        <v>262</v>
      </c>
      <c r="F174" s="6" t="n">
        <f aca="false">COUNTIF(dados!$I$2:$I$1028,E174)</f>
        <v>1</v>
      </c>
      <c r="G174" s="10" t="n">
        <f aca="false">SUMIFS(dados!$M$2:$M$1028,dados!$I$2:$I$1028,E174)</f>
        <v>0.00318309886183791</v>
      </c>
      <c r="H174" s="7" t="n">
        <f aca="false">SQRT(G174*40000/PI())</f>
        <v>6.36619772367581</v>
      </c>
      <c r="I174" s="11" t="n">
        <f aca="false">_xlfn.MAXIFS(dados!$N$2:$N$1028,dados!$I$2:$I$1028,E174)</f>
        <v>9</v>
      </c>
      <c r="J174" s="3"/>
      <c r="K174" s="3"/>
    </row>
    <row r="175" customFormat="false" ht="15" hidden="false" customHeight="false" outlineLevel="0" collapsed="false">
      <c r="A175" s="2" t="s">
        <v>32</v>
      </c>
      <c r="B175" s="2" t="s">
        <v>258</v>
      </c>
      <c r="C175" s="2" t="n">
        <v>175</v>
      </c>
      <c r="D175" s="2" t="s">
        <v>37</v>
      </c>
      <c r="E175" s="2" t="s">
        <v>263</v>
      </c>
      <c r="F175" s="6" t="n">
        <f aca="false">COUNTIF(dados!$I$2:$I$1028,E175)</f>
        <v>1</v>
      </c>
      <c r="G175" s="10" t="n">
        <f aca="false">SUMIFS(dados!$M$2:$M$1028,dados!$I$2:$I$1028,E175)</f>
        <v>0.00350936649517629</v>
      </c>
      <c r="H175" s="7" t="n">
        <f aca="false">SQRT(G175*40000/PI())</f>
        <v>6.68450760985961</v>
      </c>
      <c r="I175" s="11" t="n">
        <f aca="false">_xlfn.MAXIFS(dados!$N$2:$N$1028,dados!$I$2:$I$1028,E175)</f>
        <v>10</v>
      </c>
      <c r="J175" s="3"/>
      <c r="K175" s="3"/>
    </row>
    <row r="176" customFormat="false" ht="15" hidden="false" customHeight="false" outlineLevel="0" collapsed="false">
      <c r="A176" s="2" t="s">
        <v>32</v>
      </c>
      <c r="B176" s="2" t="s">
        <v>258</v>
      </c>
      <c r="C176" s="2" t="n">
        <v>176</v>
      </c>
      <c r="D176" s="2" t="s">
        <v>33</v>
      </c>
      <c r="E176" s="2" t="s">
        <v>264</v>
      </c>
      <c r="F176" s="6" t="n">
        <f aca="false">COUNTIF(dados!$I$2:$I$1028,E176)</f>
        <v>1</v>
      </c>
      <c r="G176" s="10" t="n">
        <f aca="false">SUMIFS(dados!$M$2:$M$1028,dados!$I$2:$I$1028,E176)</f>
        <v>0.00179049310978382</v>
      </c>
      <c r="H176" s="7" t="n">
        <f aca="false">SQRT(G176*40000/PI())</f>
        <v>4.77464829275686</v>
      </c>
      <c r="I176" s="11" t="n">
        <f aca="false">_xlfn.MAXIFS(dados!$N$2:$N$1028,dados!$I$2:$I$1028,E176)</f>
        <v>9</v>
      </c>
      <c r="J176" s="3"/>
      <c r="K176" s="3"/>
    </row>
    <row r="177" customFormat="false" ht="15" hidden="false" customHeight="false" outlineLevel="0" collapsed="false">
      <c r="A177" s="2" t="s">
        <v>32</v>
      </c>
      <c r="B177" s="2" t="s">
        <v>258</v>
      </c>
      <c r="C177" s="2" t="n">
        <v>177</v>
      </c>
      <c r="D177" s="2" t="s">
        <v>37</v>
      </c>
      <c r="E177" s="2" t="s">
        <v>265</v>
      </c>
      <c r="F177" s="6" t="n">
        <f aca="false">COUNTIF(dados!$I$2:$I$1028,E177)</f>
        <v>3</v>
      </c>
      <c r="G177" s="10" t="n">
        <f aca="false">SUMIFS(dados!$M$2:$M$1028,dados!$I$2:$I$1028,E177)</f>
        <v>0.00691528227734285</v>
      </c>
      <c r="H177" s="7" t="n">
        <f aca="false">SQRT(G177*40000/PI())</f>
        <v>9.38339536549492</v>
      </c>
      <c r="I177" s="11" t="n">
        <f aca="false">_xlfn.MAXIFS(dados!$N$2:$N$1028,dados!$I$2:$I$1028,E177)</f>
        <v>8</v>
      </c>
      <c r="J177" s="3"/>
      <c r="K177" s="3"/>
    </row>
    <row r="178" customFormat="false" ht="15" hidden="false" customHeight="false" outlineLevel="0" collapsed="false">
      <c r="A178" s="2" t="s">
        <v>32</v>
      </c>
      <c r="B178" s="2" t="s">
        <v>258</v>
      </c>
      <c r="C178" s="2" t="n">
        <v>178</v>
      </c>
      <c r="D178" s="2" t="s">
        <v>33</v>
      </c>
      <c r="E178" s="2" t="s">
        <v>266</v>
      </c>
      <c r="F178" s="6" t="n">
        <f aca="false">COUNTIF(dados!$I$2:$I$1028,E178)</f>
        <v>1</v>
      </c>
      <c r="G178" s="10" t="n">
        <f aca="false">SUMIFS(dados!$M$2:$M$1028,dados!$I$2:$I$1028,E178)</f>
        <v>0.00716197243913529</v>
      </c>
      <c r="H178" s="7" t="n">
        <f aca="false">SQRT(G178*40000/PI())</f>
        <v>9.54929658551372</v>
      </c>
      <c r="I178" s="11" t="n">
        <f aca="false">_xlfn.MAXIFS(dados!$N$2:$N$1028,dados!$I$2:$I$1028,E178)</f>
        <v>6</v>
      </c>
      <c r="J178" s="3"/>
      <c r="K178" s="3"/>
    </row>
    <row r="179" customFormat="false" ht="15" hidden="false" customHeight="false" outlineLevel="0" collapsed="false">
      <c r="A179" s="2" t="s">
        <v>32</v>
      </c>
      <c r="B179" s="2" t="s">
        <v>258</v>
      </c>
      <c r="C179" s="2" t="n">
        <v>179</v>
      </c>
      <c r="D179" s="2" t="s">
        <v>33</v>
      </c>
      <c r="E179" s="2" t="s">
        <v>267</v>
      </c>
      <c r="F179" s="6" t="n">
        <f aca="false">COUNTIF(dados!$I$2:$I$1028,E179)</f>
        <v>1</v>
      </c>
      <c r="G179" s="10" t="n">
        <f aca="false">SUMIFS(dados!$M$2:$M$1028,dados!$I$2:$I$1028,E179)</f>
        <v>0.00287274672280871</v>
      </c>
      <c r="H179" s="7" t="n">
        <f aca="false">SQRT(G179*40000/PI())</f>
        <v>6.04788783749202</v>
      </c>
      <c r="I179" s="11" t="n">
        <f aca="false">_xlfn.MAXIFS(dados!$N$2:$N$1028,dados!$I$2:$I$1028,E179)</f>
        <v>9</v>
      </c>
      <c r="J179" s="3"/>
      <c r="K179" s="3"/>
    </row>
    <row r="180" customFormat="false" ht="15" hidden="false" customHeight="false" outlineLevel="0" collapsed="false">
      <c r="A180" s="2" t="s">
        <v>32</v>
      </c>
      <c r="B180" s="2" t="s">
        <v>258</v>
      </c>
      <c r="C180" s="2" t="n">
        <v>180</v>
      </c>
      <c r="D180" s="2" t="s">
        <v>37</v>
      </c>
      <c r="E180" s="2" t="s">
        <v>268</v>
      </c>
      <c r="F180" s="6" t="n">
        <f aca="false">COUNTIF(dados!$I$2:$I$1028,E180)</f>
        <v>2</v>
      </c>
      <c r="G180" s="10" t="n">
        <f aca="false">SUMIFS(dados!$M$2:$M$1028,dados!$I$2:$I$1028,E180)</f>
        <v>0.00466323983259253</v>
      </c>
      <c r="H180" s="7" t="n">
        <f aca="false">SQRT(G180*40000/PI())</f>
        <v>7.70546647610707</v>
      </c>
      <c r="I180" s="11" t="n">
        <f aca="false">_xlfn.MAXIFS(dados!$N$2:$N$1028,dados!$I$2:$I$1028,E180)</f>
        <v>8</v>
      </c>
      <c r="J180" s="3"/>
      <c r="K180" s="3"/>
    </row>
    <row r="181" customFormat="false" ht="15" hidden="false" customHeight="false" outlineLevel="0" collapsed="false">
      <c r="A181" s="2" t="s">
        <v>32</v>
      </c>
      <c r="B181" s="2" t="s">
        <v>258</v>
      </c>
      <c r="C181" s="2" t="n">
        <v>181</v>
      </c>
      <c r="D181" s="2" t="s">
        <v>37</v>
      </c>
      <c r="E181" s="2" t="s">
        <v>269</v>
      </c>
      <c r="F181" s="6" t="n">
        <f aca="false">COUNTIF(dados!$I$2:$I$1028,E181)</f>
        <v>1</v>
      </c>
      <c r="G181" s="10" t="n">
        <f aca="false">SUMIFS(dados!$M$2:$M$1028,dados!$I$2:$I$1028,E181)</f>
        <v>0.0025783100780887</v>
      </c>
      <c r="H181" s="7" t="n">
        <f aca="false">SQRT(G181*40000/PI())</f>
        <v>5.72957795130823</v>
      </c>
      <c r="I181" s="11" t="n">
        <f aca="false">_xlfn.MAXIFS(dados!$N$2:$N$1028,dados!$I$2:$I$1028,E181)</f>
        <v>7</v>
      </c>
      <c r="J181" s="3"/>
      <c r="K181" s="3"/>
    </row>
    <row r="182" customFormat="false" ht="15" hidden="false" customHeight="false" outlineLevel="0" collapsed="false">
      <c r="A182" s="2" t="s">
        <v>32</v>
      </c>
      <c r="B182" s="2" t="s">
        <v>258</v>
      </c>
      <c r="C182" s="2" t="n">
        <v>182</v>
      </c>
      <c r="D182" s="2" t="s">
        <v>33</v>
      </c>
      <c r="E182" s="2" t="s">
        <v>270</v>
      </c>
      <c r="F182" s="6" t="n">
        <f aca="false">COUNTIF(dados!$I$2:$I$1028,E182)</f>
        <v>2</v>
      </c>
      <c r="G182" s="10" t="n">
        <f aca="false">SUMIFS(dados!$M$2:$M$1028,dados!$I$2:$I$1028,E182)</f>
        <v>0.0184142269157323</v>
      </c>
      <c r="H182" s="7" t="n">
        <f aca="false">SQRT(G182*40000/PI())</f>
        <v>15.3119959165476</v>
      </c>
      <c r="I182" s="11" t="n">
        <f aca="false">_xlfn.MAXIFS(dados!$N$2:$N$1028,dados!$I$2:$I$1028,E182)</f>
        <v>17</v>
      </c>
      <c r="J182" s="3"/>
      <c r="K182" s="3"/>
    </row>
    <row r="183" customFormat="false" ht="15" hidden="false" customHeight="false" outlineLevel="0" collapsed="false">
      <c r="A183" s="2" t="s">
        <v>32</v>
      </c>
      <c r="B183" s="2" t="s">
        <v>258</v>
      </c>
      <c r="C183" s="2" t="n">
        <v>183</v>
      </c>
      <c r="D183" s="2" t="s">
        <v>37</v>
      </c>
      <c r="E183" s="2" t="s">
        <v>271</v>
      </c>
      <c r="F183" s="6" t="n">
        <f aca="false">COUNTIF(dados!$I$2:$I$1028,E183)</f>
        <v>1</v>
      </c>
      <c r="G183" s="10" t="n">
        <f aca="false">SUMIFS(dados!$M$2:$M$1028,dados!$I$2:$I$1028,E183)</f>
        <v>0.00203718327157626</v>
      </c>
      <c r="H183" s="7" t="n">
        <f aca="false">SQRT(G183*40000/PI())</f>
        <v>5.09295817894065</v>
      </c>
      <c r="I183" s="11" t="n">
        <f aca="false">_xlfn.MAXIFS(dados!$N$2:$N$1028,dados!$I$2:$I$1028,E183)</f>
        <v>6</v>
      </c>
      <c r="J183" s="3"/>
      <c r="K183" s="3"/>
    </row>
    <row r="184" customFormat="false" ht="15" hidden="false" customHeight="false" outlineLevel="0" collapsed="false">
      <c r="A184" s="2" t="s">
        <v>32</v>
      </c>
      <c r="B184" s="2" t="s">
        <v>258</v>
      </c>
      <c r="C184" s="2" t="n">
        <v>184</v>
      </c>
      <c r="D184" s="2" t="s">
        <v>33</v>
      </c>
      <c r="E184" s="2" t="s">
        <v>272</v>
      </c>
      <c r="F184" s="6" t="n">
        <f aca="false">COUNTIF(dados!$I$2:$I$1028,E184)</f>
        <v>1</v>
      </c>
      <c r="G184" s="10" t="n">
        <f aca="false">SUMIFS(dados!$M$2:$M$1028,dados!$I$2:$I$1028,E184)</f>
        <v>0.00458366236104659</v>
      </c>
      <c r="H184" s="7" t="n">
        <f aca="false">SQRT(G184*40000/PI())</f>
        <v>7.63943726841098</v>
      </c>
      <c r="I184" s="11" t="n">
        <f aca="false">_xlfn.MAXIFS(dados!$N$2:$N$1028,dados!$I$2:$I$1028,E184)</f>
        <v>8</v>
      </c>
      <c r="J184" s="3"/>
      <c r="K184" s="3"/>
    </row>
    <row r="185" customFormat="false" ht="15" hidden="false" customHeight="false" outlineLevel="0" collapsed="false">
      <c r="A185" s="2" t="s">
        <v>32</v>
      </c>
      <c r="B185" s="2" t="s">
        <v>258</v>
      </c>
      <c r="C185" s="2" t="n">
        <v>185</v>
      </c>
      <c r="D185" s="2" t="s">
        <v>33</v>
      </c>
      <c r="E185" s="2" t="s">
        <v>273</v>
      </c>
      <c r="F185" s="6" t="n">
        <f aca="false">COUNTIF(dados!$I$2:$I$1028,E185)</f>
        <v>1</v>
      </c>
      <c r="G185" s="10" t="n">
        <f aca="false">SUMIFS(dados!$M$2:$M$1028,dados!$I$2:$I$1028,E185)</f>
        <v>0.0062388737692023</v>
      </c>
      <c r="H185" s="7" t="n">
        <f aca="false">SQRT(G185*40000/PI())</f>
        <v>8.91267681314614</v>
      </c>
      <c r="I185" s="11" t="n">
        <f aca="false">_xlfn.MAXIFS(dados!$N$2:$N$1028,dados!$I$2:$I$1028,E185)</f>
        <v>14</v>
      </c>
      <c r="J185" s="3"/>
      <c r="K185" s="3"/>
    </row>
    <row r="186" customFormat="false" ht="15" hidden="false" customHeight="false" outlineLevel="0" collapsed="false">
      <c r="A186" s="2" t="s">
        <v>32</v>
      </c>
      <c r="B186" s="2" t="s">
        <v>258</v>
      </c>
      <c r="C186" s="2" t="n">
        <v>186</v>
      </c>
      <c r="D186" s="2" t="s">
        <v>48</v>
      </c>
      <c r="E186" s="2" t="s">
        <v>274</v>
      </c>
      <c r="F186" s="6" t="n">
        <f aca="false">COUNTIF(dados!$I$2:$I$1028,E186)</f>
        <v>1</v>
      </c>
      <c r="G186" s="10" t="n">
        <f aca="false">SUMIFS(dados!$M$2:$M$1028,dados!$I$2:$I$1028,E186)</f>
        <v>0.0688265551400901</v>
      </c>
      <c r="H186" s="7" t="n">
        <f aca="false">SQRT(G186*40000/PI())</f>
        <v>29.6028194150925</v>
      </c>
      <c r="I186" s="11" t="n">
        <f aca="false">_xlfn.MAXIFS(dados!$N$2:$N$1028,dados!$I$2:$I$1028,E186)</f>
        <v>20</v>
      </c>
      <c r="J186" s="3"/>
      <c r="K186" s="3"/>
    </row>
    <row r="187" customFormat="false" ht="15" hidden="false" customHeight="false" outlineLevel="0" collapsed="false">
      <c r="A187" s="2" t="s">
        <v>32</v>
      </c>
      <c r="B187" s="2" t="s">
        <v>258</v>
      </c>
      <c r="C187" s="2" t="n">
        <v>187</v>
      </c>
      <c r="D187" s="2" t="s">
        <v>33</v>
      </c>
      <c r="E187" s="2" t="s">
        <v>275</v>
      </c>
      <c r="F187" s="6" t="n">
        <f aca="false">COUNTIF(dados!$I$2:$I$1028,E187)</f>
        <v>1</v>
      </c>
      <c r="G187" s="10" t="n">
        <f aca="false">SUMIFS(dados!$M$2:$M$1028,dados!$I$2:$I$1028,E187)</f>
        <v>0.00287274672280871</v>
      </c>
      <c r="H187" s="7" t="n">
        <f aca="false">SQRT(G187*40000/PI())</f>
        <v>6.04788783749202</v>
      </c>
      <c r="I187" s="11" t="n">
        <f aca="false">_xlfn.MAXIFS(dados!$N$2:$N$1028,dados!$I$2:$I$1028,E187)</f>
        <v>12</v>
      </c>
      <c r="J187" s="3"/>
      <c r="K187" s="3"/>
    </row>
    <row r="188" customFormat="false" ht="15" hidden="false" customHeight="false" outlineLevel="0" collapsed="false">
      <c r="A188" s="2" t="s">
        <v>32</v>
      </c>
      <c r="B188" s="2" t="s">
        <v>258</v>
      </c>
      <c r="C188" s="2" t="n">
        <v>188</v>
      </c>
      <c r="D188" s="2" t="s">
        <v>33</v>
      </c>
      <c r="E188" s="2" t="s">
        <v>276</v>
      </c>
      <c r="F188" s="6" t="n">
        <f aca="false">COUNTIF(dados!$I$2:$I$1028,E188)</f>
        <v>1</v>
      </c>
      <c r="G188" s="10" t="n">
        <f aca="false">SUMIFS(dados!$M$2:$M$1028,dados!$I$2:$I$1028,E188)</f>
        <v>0.00580119767569958</v>
      </c>
      <c r="H188" s="7" t="n">
        <f aca="false">SQRT(G188*40000/PI())</f>
        <v>8.59436692696235</v>
      </c>
      <c r="I188" s="11" t="n">
        <f aca="false">_xlfn.MAXIFS(dados!$N$2:$N$1028,dados!$I$2:$I$1028,E188)</f>
        <v>12</v>
      </c>
      <c r="J188" s="3"/>
      <c r="K188" s="3"/>
    </row>
    <row r="189" customFormat="false" ht="15" hidden="false" customHeight="false" outlineLevel="0" collapsed="false">
      <c r="A189" s="2" t="s">
        <v>32</v>
      </c>
      <c r="B189" s="2" t="s">
        <v>258</v>
      </c>
      <c r="C189" s="2" t="n">
        <v>189</v>
      </c>
      <c r="D189" s="2" t="s">
        <v>37</v>
      </c>
      <c r="E189" s="2" t="s">
        <v>277</v>
      </c>
      <c r="F189" s="6" t="n">
        <f aca="false">COUNTIF(dados!$I$2:$I$1028,E189)</f>
        <v>5</v>
      </c>
      <c r="G189" s="10" t="n">
        <f aca="false">SUMIFS(dados!$M$2:$M$1028,dados!$I$2:$I$1028,E189)</f>
        <v>0.0244859879946881</v>
      </c>
      <c r="H189" s="7" t="n">
        <f aca="false">SQRT(G189*40000/PI())</f>
        <v>17.6568763394739</v>
      </c>
      <c r="I189" s="11" t="n">
        <f aca="false">_xlfn.MAXIFS(dados!$N$2:$N$1028,dados!$I$2:$I$1028,E189)</f>
        <v>6</v>
      </c>
      <c r="J189" s="3"/>
      <c r="K189" s="3"/>
    </row>
    <row r="190" customFormat="false" ht="15" hidden="false" customHeight="false" outlineLevel="0" collapsed="false">
      <c r="A190" s="2" t="s">
        <v>32</v>
      </c>
      <c r="B190" s="2" t="s">
        <v>258</v>
      </c>
      <c r="C190" s="2" t="n">
        <v>190</v>
      </c>
      <c r="D190" s="2" t="s">
        <v>37</v>
      </c>
      <c r="E190" s="2" t="s">
        <v>278</v>
      </c>
      <c r="F190" s="6" t="n">
        <f aca="false">COUNTIF(dados!$I$2:$I$1028,E190)</f>
        <v>1</v>
      </c>
      <c r="G190" s="10" t="n">
        <f aca="false">SUMIFS(dados!$M$2:$M$1028,dados!$I$2:$I$1028,E190)</f>
        <v>0.00919915571071155</v>
      </c>
      <c r="H190" s="7" t="n">
        <f aca="false">SQRT(G190*40000/PI())</f>
        <v>10.8225361302489</v>
      </c>
      <c r="I190" s="11" t="n">
        <f aca="false">_xlfn.MAXIFS(dados!$N$2:$N$1028,dados!$I$2:$I$1028,E190)</f>
        <v>9</v>
      </c>
      <c r="J190" s="3"/>
      <c r="K190" s="3"/>
    </row>
    <row r="191" customFormat="false" ht="15" hidden="false" customHeight="false" outlineLevel="0" collapsed="false">
      <c r="A191" s="2" t="s">
        <v>32</v>
      </c>
      <c r="B191" s="2" t="s">
        <v>258</v>
      </c>
      <c r="C191" s="2" t="n">
        <v>191</v>
      </c>
      <c r="D191" s="2" t="s">
        <v>37</v>
      </c>
      <c r="E191" s="2" t="s">
        <v>279</v>
      </c>
      <c r="F191" s="6" t="n">
        <f aca="false">COUNTIF(dados!$I$2:$I$1028,E191)</f>
        <v>1</v>
      </c>
      <c r="G191" s="10" t="n">
        <f aca="false">SUMIFS(dados!$M$2:$M$1028,dados!$I$2:$I$1028,E191)</f>
        <v>0.0086659866513537</v>
      </c>
      <c r="H191" s="7" t="n">
        <f aca="false">SQRT(G191*40000/PI())</f>
        <v>10.5042262440651</v>
      </c>
      <c r="I191" s="11" t="n">
        <f aca="false">_xlfn.MAXIFS(dados!$N$2:$N$1028,dados!$I$2:$I$1028,E191)</f>
        <v>7</v>
      </c>
      <c r="J191" s="3"/>
      <c r="K191" s="3"/>
    </row>
    <row r="192" customFormat="false" ht="15" hidden="false" customHeight="false" outlineLevel="0" collapsed="false">
      <c r="A192" s="2" t="s">
        <v>32</v>
      </c>
      <c r="B192" s="2" t="s">
        <v>258</v>
      </c>
      <c r="C192" s="2" t="n">
        <v>192</v>
      </c>
      <c r="D192" s="2" t="s">
        <v>37</v>
      </c>
      <c r="E192" s="2" t="s">
        <v>280</v>
      </c>
      <c r="F192" s="6" t="n">
        <f aca="false">COUNTIF(dados!$I$2:$I$1028,E192)</f>
        <v>2</v>
      </c>
      <c r="G192" s="10" t="n">
        <f aca="false">SUMIFS(dados!$M$2:$M$1028,dados!$I$2:$I$1028,E192)</f>
        <v>0.00898429653753749</v>
      </c>
      <c r="H192" s="7" t="n">
        <f aca="false">SQRT(G192*40000/PI())</f>
        <v>10.6954016442675</v>
      </c>
      <c r="I192" s="11" t="n">
        <f aca="false">_xlfn.MAXIFS(dados!$N$2:$N$1028,dados!$I$2:$I$1028,E192)</f>
        <v>15</v>
      </c>
      <c r="J192" s="3"/>
      <c r="K192" s="3"/>
    </row>
    <row r="193" customFormat="false" ht="15" hidden="false" customHeight="false" outlineLevel="0" collapsed="false">
      <c r="A193" s="2" t="s">
        <v>32</v>
      </c>
      <c r="B193" s="2" t="s">
        <v>258</v>
      </c>
      <c r="C193" s="2" t="n">
        <v>193</v>
      </c>
      <c r="D193" s="2" t="s">
        <v>33</v>
      </c>
      <c r="E193" s="2" t="s">
        <v>281</v>
      </c>
      <c r="F193" s="6" t="n">
        <f aca="false">COUNTIF(dados!$I$2:$I$1028,E193)</f>
        <v>1</v>
      </c>
      <c r="G193" s="10" t="n">
        <f aca="false">SUMIFS(dados!$M$2:$M$1028,dados!$I$2:$I$1028,E193)</f>
        <v>0.0086659866513537</v>
      </c>
      <c r="H193" s="7" t="n">
        <f aca="false">SQRT(G193*40000/PI())</f>
        <v>10.5042262440651</v>
      </c>
      <c r="I193" s="11" t="n">
        <f aca="false">_xlfn.MAXIFS(dados!$N$2:$N$1028,dados!$I$2:$I$1028,E193)</f>
        <v>7</v>
      </c>
      <c r="J193" s="3"/>
      <c r="K193" s="3"/>
    </row>
    <row r="194" customFormat="false" ht="15" hidden="false" customHeight="false" outlineLevel="0" collapsed="false">
      <c r="A194" s="2" t="s">
        <v>32</v>
      </c>
      <c r="B194" s="2" t="s">
        <v>258</v>
      </c>
      <c r="C194" s="2" t="n">
        <v>194</v>
      </c>
      <c r="D194" s="2" t="s">
        <v>33</v>
      </c>
      <c r="E194" s="2" t="s">
        <v>282</v>
      </c>
      <c r="F194" s="6" t="n">
        <f aca="false">COUNTIF(dados!$I$2:$I$1028,E194)</f>
        <v>2</v>
      </c>
      <c r="G194" s="10" t="n">
        <f aca="false">SUMIFS(dados!$M$2:$M$1028,dados!$I$2:$I$1028,E194)</f>
        <v>0.0153584520083679</v>
      </c>
      <c r="H194" s="7" t="n">
        <f aca="false">SQRT(G194*40000/PI())</f>
        <v>13.9839152038945</v>
      </c>
      <c r="I194" s="11" t="n">
        <f aca="false">_xlfn.MAXIFS(dados!$N$2:$N$1028,dados!$I$2:$I$1028,E194)</f>
        <v>11</v>
      </c>
      <c r="J194" s="3"/>
      <c r="K194" s="3"/>
    </row>
    <row r="195" customFormat="false" ht="15" hidden="false" customHeight="false" outlineLevel="0" collapsed="false">
      <c r="A195" s="2" t="s">
        <v>32</v>
      </c>
      <c r="B195" s="2" t="s">
        <v>258</v>
      </c>
      <c r="C195" s="2" t="n">
        <v>195</v>
      </c>
      <c r="D195" s="2" t="s">
        <v>37</v>
      </c>
      <c r="E195" s="2" t="s">
        <v>283</v>
      </c>
      <c r="F195" s="6" t="n">
        <f aca="false">COUNTIF(dados!$I$2:$I$1028,E195)</f>
        <v>4</v>
      </c>
      <c r="G195" s="10" t="n">
        <f aca="false">SUMIFS(dados!$M$2:$M$1028,dados!$I$2:$I$1028,E195)</f>
        <v>0.0283534531118212</v>
      </c>
      <c r="H195" s="7" t="n">
        <f aca="false">SQRT(G195*40000/PI())</f>
        <v>19.0001941389463</v>
      </c>
      <c r="I195" s="11" t="n">
        <f aca="false">_xlfn.MAXIFS(dados!$N$2:$N$1028,dados!$I$2:$I$1028,E195)</f>
        <v>6</v>
      </c>
      <c r="J195" s="3"/>
      <c r="K195" s="3"/>
    </row>
    <row r="196" customFormat="false" ht="15" hidden="false" customHeight="false" outlineLevel="0" collapsed="false">
      <c r="A196" s="2" t="s">
        <v>32</v>
      </c>
      <c r="B196" s="2" t="s">
        <v>258</v>
      </c>
      <c r="C196" s="2" t="n">
        <v>196</v>
      </c>
      <c r="D196" s="2" t="s">
        <v>33</v>
      </c>
      <c r="E196" s="2" t="s">
        <v>284</v>
      </c>
      <c r="F196" s="6" t="n">
        <f aca="false">COUNTIF(dados!$I$2:$I$1028,E196)</f>
        <v>1</v>
      </c>
      <c r="G196" s="10" t="n">
        <f aca="false">SUMIFS(dados!$M$2:$M$1028,dados!$I$2:$I$1028,E196)</f>
        <v>0.00974824026437859</v>
      </c>
      <c r="H196" s="7" t="n">
        <f aca="false">SQRT(G196*40000/PI())</f>
        <v>11.1408460164327</v>
      </c>
      <c r="I196" s="11" t="n">
        <f aca="false">_xlfn.MAXIFS(dados!$N$2:$N$1028,dados!$I$2:$I$1028,E196)</f>
        <v>12</v>
      </c>
      <c r="J196" s="3"/>
      <c r="K196" s="3"/>
    </row>
    <row r="197" customFormat="false" ht="15" hidden="false" customHeight="false" outlineLevel="0" collapsed="false">
      <c r="A197" s="2" t="s">
        <v>32</v>
      </c>
      <c r="B197" s="2" t="s">
        <v>258</v>
      </c>
      <c r="C197" s="2" t="n">
        <v>197</v>
      </c>
      <c r="D197" s="2" t="s">
        <v>37</v>
      </c>
      <c r="E197" s="2" t="s">
        <v>285</v>
      </c>
      <c r="F197" s="6" t="n">
        <f aca="false">COUNTIF(dados!$I$2:$I$1028,E197)</f>
        <v>2</v>
      </c>
      <c r="G197" s="10" t="n">
        <f aca="false">SUMIFS(dados!$M$2:$M$1028,dados!$I$2:$I$1028,E197)</f>
        <v>0.0138544377961495</v>
      </c>
      <c r="H197" s="7" t="n">
        <f aca="false">SQRT(G197*40000/PI())</f>
        <v>13.2815729761693</v>
      </c>
      <c r="I197" s="11" t="n">
        <f aca="false">_xlfn.MAXIFS(dados!$N$2:$N$1028,dados!$I$2:$I$1028,E197)</f>
        <v>5</v>
      </c>
      <c r="J197" s="3"/>
      <c r="K197" s="3"/>
    </row>
    <row r="198" customFormat="false" ht="15" hidden="false" customHeight="false" outlineLevel="0" collapsed="false">
      <c r="A198" s="2" t="s">
        <v>32</v>
      </c>
      <c r="B198" s="2" t="s">
        <v>258</v>
      </c>
      <c r="C198" s="2" t="n">
        <v>198</v>
      </c>
      <c r="D198" s="2" t="s">
        <v>33</v>
      </c>
      <c r="E198" s="2" t="s">
        <v>286</v>
      </c>
      <c r="F198" s="6" t="n">
        <f aca="false">COUNTIF(dados!$I$2:$I$1028,E198)</f>
        <v>1</v>
      </c>
      <c r="G198" s="10" t="n">
        <f aca="false">SUMIFS(dados!$M$2:$M$1028,dados!$I$2:$I$1028,E198)</f>
        <v>0.00580119767569958</v>
      </c>
      <c r="H198" s="7" t="n">
        <f aca="false">SQRT(G198*40000/PI())</f>
        <v>8.59436692696235</v>
      </c>
      <c r="I198" s="11" t="n">
        <f aca="false">_xlfn.MAXIFS(dados!$N$2:$N$1028,dados!$I$2:$I$1028,E198)</f>
        <v>4</v>
      </c>
      <c r="J198" s="3"/>
      <c r="K198" s="3"/>
    </row>
    <row r="199" customFormat="false" ht="15" hidden="false" customHeight="false" outlineLevel="0" collapsed="false">
      <c r="A199" s="2" t="s">
        <v>32</v>
      </c>
      <c r="B199" s="2" t="s">
        <v>258</v>
      </c>
      <c r="C199" s="2" t="n">
        <v>199</v>
      </c>
      <c r="D199" s="2" t="s">
        <v>48</v>
      </c>
      <c r="E199" s="2" t="s">
        <v>287</v>
      </c>
      <c r="F199" s="6" t="n">
        <f aca="false">COUNTIF(dados!$I$2:$I$1028,E199)</f>
        <v>1</v>
      </c>
      <c r="G199" s="10" t="n">
        <f aca="false">SUMIFS(dados!$M$2:$M$1028,dados!$I$2:$I$1028,E199)</f>
        <v>0.101612473417021</v>
      </c>
      <c r="H199" s="7" t="n">
        <f aca="false">SQRT(G199*40000/PI())</f>
        <v>35.9690171387684</v>
      </c>
      <c r="I199" s="11" t="n">
        <f aca="false">_xlfn.MAXIFS(dados!$N$2:$N$1028,dados!$I$2:$I$1028,E199)</f>
        <v>19</v>
      </c>
      <c r="J199" s="3"/>
      <c r="K199" s="3"/>
    </row>
    <row r="200" customFormat="false" ht="15" hidden="false" customHeight="false" outlineLevel="0" collapsed="false">
      <c r="A200" s="2" t="s">
        <v>32</v>
      </c>
      <c r="B200" s="2" t="s">
        <v>258</v>
      </c>
      <c r="C200" s="2" t="n">
        <v>200</v>
      </c>
      <c r="D200" s="2" t="s">
        <v>37</v>
      </c>
      <c r="E200" s="2" t="s">
        <v>288</v>
      </c>
      <c r="F200" s="6" t="n">
        <f aca="false">COUNTIF(dados!$I$2:$I$1028,E200)</f>
        <v>1</v>
      </c>
      <c r="G200" s="10" t="n">
        <f aca="false">SUMIFS(dados!$M$2:$M$1028,dados!$I$2:$I$1028,E200)</f>
        <v>0.00229978892767789</v>
      </c>
      <c r="H200" s="7" t="n">
        <f aca="false">SQRT(G200*40000/PI())</f>
        <v>5.41126806512444</v>
      </c>
      <c r="I200" s="11" t="n">
        <f aca="false">_xlfn.MAXIFS(dados!$N$2:$N$1028,dados!$I$2:$I$1028,E200)</f>
        <v>7</v>
      </c>
      <c r="J200" s="3"/>
      <c r="K200" s="3"/>
    </row>
    <row r="201" customFormat="false" ht="15" hidden="false" customHeight="false" outlineLevel="0" collapsed="false">
      <c r="A201" s="2" t="s">
        <v>32</v>
      </c>
      <c r="B201" s="2" t="s">
        <v>258</v>
      </c>
      <c r="C201" s="2" t="n">
        <v>201</v>
      </c>
      <c r="D201" s="2" t="s">
        <v>37</v>
      </c>
      <c r="E201" s="2" t="s">
        <v>289</v>
      </c>
      <c r="F201" s="6" t="n">
        <f aca="false">COUNTIF(dados!$I$2:$I$1028,E201)</f>
        <v>1</v>
      </c>
      <c r="G201" s="10" t="n">
        <f aca="false">SUMIFS(dados!$M$2:$M$1028,dados!$I$2:$I$1028,E201)</f>
        <v>0.00497359197162173</v>
      </c>
      <c r="H201" s="7" t="n">
        <f aca="false">SQRT(G201*40000/PI())</f>
        <v>7.95774715459477</v>
      </c>
      <c r="I201" s="11" t="n">
        <f aca="false">_xlfn.MAXIFS(dados!$N$2:$N$1028,dados!$I$2:$I$1028,E201)</f>
        <v>15</v>
      </c>
      <c r="J201" s="3"/>
      <c r="K201" s="3"/>
    </row>
    <row r="202" customFormat="false" ht="15" hidden="false" customHeight="false" outlineLevel="0" collapsed="false">
      <c r="A202" s="2" t="s">
        <v>32</v>
      </c>
      <c r="B202" s="2" t="s">
        <v>258</v>
      </c>
      <c r="C202" s="2" t="n">
        <v>202</v>
      </c>
      <c r="D202" s="2" t="s">
        <v>37</v>
      </c>
      <c r="E202" s="2" t="s">
        <v>290</v>
      </c>
      <c r="F202" s="6" t="n">
        <f aca="false">COUNTIF(dados!$I$2:$I$1028,E202)</f>
        <v>1</v>
      </c>
      <c r="G202" s="10" t="n">
        <f aca="false">SUMIFS(dados!$M$2:$M$1028,dados!$I$2:$I$1028,E202)</f>
        <v>0.00287274672280871</v>
      </c>
      <c r="H202" s="7" t="n">
        <f aca="false">SQRT(G202*40000/PI())</f>
        <v>6.04788783749202</v>
      </c>
      <c r="I202" s="11" t="n">
        <f aca="false">_xlfn.MAXIFS(dados!$N$2:$N$1028,dados!$I$2:$I$1028,E202)</f>
        <v>6</v>
      </c>
      <c r="J202" s="3"/>
      <c r="K202" s="3"/>
    </row>
    <row r="203" customFormat="false" ht="15" hidden="false" customHeight="false" outlineLevel="0" collapsed="false">
      <c r="A203" s="2" t="s">
        <v>32</v>
      </c>
      <c r="B203" s="2" t="s">
        <v>258</v>
      </c>
      <c r="C203" s="2" t="n">
        <v>203</v>
      </c>
      <c r="D203" s="2" t="s">
        <v>33</v>
      </c>
      <c r="E203" s="2" t="s">
        <v>291</v>
      </c>
      <c r="F203" s="6" t="n">
        <f aca="false">COUNTIF(dados!$I$2:$I$1028,E203)</f>
        <v>1</v>
      </c>
      <c r="G203" s="10" t="n">
        <f aca="false">SUMIFS(dados!$M$2:$M$1028,dados!$I$2:$I$1028,E203)</f>
        <v>0.00350936649517629</v>
      </c>
      <c r="H203" s="7" t="n">
        <f aca="false">SQRT(G203*40000/PI())</f>
        <v>6.68450760985961</v>
      </c>
      <c r="I203" s="11" t="n">
        <f aca="false">_xlfn.MAXIFS(dados!$N$2:$N$1028,dados!$I$2:$I$1028,E203)</f>
        <v>10</v>
      </c>
      <c r="J203" s="3"/>
      <c r="K203" s="3"/>
    </row>
    <row r="204" customFormat="false" ht="15" hidden="false" customHeight="false" outlineLevel="0" collapsed="false">
      <c r="A204" s="2" t="s">
        <v>32</v>
      </c>
      <c r="B204" s="2" t="s">
        <v>258</v>
      </c>
      <c r="C204" s="2" t="n">
        <v>204</v>
      </c>
      <c r="D204" s="2" t="s">
        <v>37</v>
      </c>
      <c r="E204" s="2" t="s">
        <v>292</v>
      </c>
      <c r="F204" s="6" t="n">
        <f aca="false">COUNTIF(dados!$I$2:$I$1028,E204)</f>
        <v>1</v>
      </c>
      <c r="G204" s="10" t="n">
        <f aca="false">SUMIFS(dados!$M$2:$M$1028,dados!$I$2:$I$1028,E204)</f>
        <v>0.00537943707650606</v>
      </c>
      <c r="H204" s="7" t="n">
        <f aca="false">SQRT(G204*40000/PI())</f>
        <v>8.27605704077856</v>
      </c>
      <c r="I204" s="11" t="n">
        <f aca="false">_xlfn.MAXIFS(dados!$N$2:$N$1028,dados!$I$2:$I$1028,E204)</f>
        <v>5</v>
      </c>
      <c r="J204" s="3"/>
      <c r="K204" s="3"/>
    </row>
    <row r="205" customFormat="false" ht="15" hidden="false" customHeight="false" outlineLevel="0" collapsed="false">
      <c r="A205" s="2" t="s">
        <v>32</v>
      </c>
      <c r="B205" s="2" t="s">
        <v>258</v>
      </c>
      <c r="C205" s="2" t="n">
        <v>205</v>
      </c>
      <c r="D205" s="2" t="s">
        <v>37</v>
      </c>
      <c r="E205" s="2" t="s">
        <v>293</v>
      </c>
      <c r="F205" s="6" t="n">
        <f aca="false">COUNTIF(dados!$I$2:$I$1028,E205)</f>
        <v>1</v>
      </c>
      <c r="G205" s="10" t="n">
        <f aca="false">SUMIFS(dados!$M$2:$M$1028,dados!$I$2:$I$1028,E205)</f>
        <v>0.00497359197162173</v>
      </c>
      <c r="H205" s="7" t="n">
        <f aca="false">SQRT(G205*40000/PI())</f>
        <v>7.95774715459477</v>
      </c>
      <c r="I205" s="11" t="n">
        <f aca="false">_xlfn.MAXIFS(dados!$N$2:$N$1028,dados!$I$2:$I$1028,E205)</f>
        <v>10</v>
      </c>
      <c r="J205" s="3"/>
      <c r="K205" s="3"/>
    </row>
    <row r="206" customFormat="false" ht="15" hidden="false" customHeight="false" outlineLevel="0" collapsed="false">
      <c r="A206" s="2" t="s">
        <v>32</v>
      </c>
      <c r="B206" s="2" t="s">
        <v>258</v>
      </c>
      <c r="C206" s="2" t="n">
        <v>206</v>
      </c>
      <c r="D206" s="2" t="s">
        <v>33</v>
      </c>
      <c r="E206" s="2" t="s">
        <v>294</v>
      </c>
      <c r="F206" s="6" t="n">
        <f aca="false">COUNTIF(dados!$I$2:$I$1028,E206)</f>
        <v>1</v>
      </c>
      <c r="G206" s="10" t="n">
        <f aca="false">SUMIFS(dados!$M$2:$M$1028,dados!$I$2:$I$1028,E206)</f>
        <v>0.00537943707650606</v>
      </c>
      <c r="H206" s="7" t="n">
        <f aca="false">SQRT(G206*40000/PI())</f>
        <v>8.27605704077856</v>
      </c>
      <c r="I206" s="11" t="n">
        <f aca="false">_xlfn.MAXIFS(dados!$N$2:$N$1028,dados!$I$2:$I$1028,E206)</f>
        <v>8</v>
      </c>
      <c r="J206" s="3"/>
      <c r="K206" s="3"/>
    </row>
    <row r="207" customFormat="false" ht="15" hidden="false" customHeight="false" outlineLevel="0" collapsed="false">
      <c r="A207" s="2" t="s">
        <v>32</v>
      </c>
      <c r="B207" s="2" t="s">
        <v>258</v>
      </c>
      <c r="C207" s="2" t="n">
        <v>207</v>
      </c>
      <c r="D207" s="2" t="s">
        <v>33</v>
      </c>
      <c r="E207" s="2" t="s">
        <v>295</v>
      </c>
      <c r="F207" s="6" t="n">
        <f aca="false">COUNTIF(dados!$I$2:$I$1028,E207)</f>
        <v>1</v>
      </c>
      <c r="G207" s="10" t="n">
        <f aca="false">SUMIFS(dados!$M$2:$M$1028,dados!$I$2:$I$1028,E207)</f>
        <v>0.00580119767569958</v>
      </c>
      <c r="H207" s="7" t="n">
        <f aca="false">SQRT(G207*40000/PI())</f>
        <v>8.59436692696235</v>
      </c>
      <c r="I207" s="11" t="n">
        <f aca="false">_xlfn.MAXIFS(dados!$N$2:$N$1028,dados!$I$2:$I$1028,E207)</f>
        <v>9</v>
      </c>
      <c r="J207" s="3"/>
      <c r="K207" s="3"/>
    </row>
    <row r="208" customFormat="false" ht="15" hidden="false" customHeight="false" outlineLevel="0" collapsed="false">
      <c r="A208" s="2" t="s">
        <v>32</v>
      </c>
      <c r="B208" s="2" t="s">
        <v>258</v>
      </c>
      <c r="C208" s="2" t="n">
        <v>208</v>
      </c>
      <c r="D208" s="2" t="s">
        <v>33</v>
      </c>
      <c r="E208" s="2" t="s">
        <v>296</v>
      </c>
      <c r="F208" s="6" t="n">
        <f aca="false">COUNTIF(dados!$I$2:$I$1028,E208)</f>
        <v>4</v>
      </c>
      <c r="G208" s="10" t="n">
        <f aca="false">SUMIFS(dados!$M$2:$M$1028,dados!$I$2:$I$1028,E208)</f>
        <v>0.0368841580615468</v>
      </c>
      <c r="H208" s="7" t="n">
        <f aca="false">SQRT(G208*40000/PI())</f>
        <v>21.6708026197055</v>
      </c>
      <c r="I208" s="11" t="n">
        <f aca="false">_xlfn.MAXIFS(dados!$N$2:$N$1028,dados!$I$2:$I$1028,E208)</f>
        <v>12</v>
      </c>
      <c r="J208" s="3"/>
      <c r="K208" s="3"/>
    </row>
    <row r="209" customFormat="false" ht="15" hidden="false" customHeight="false" outlineLevel="0" collapsed="false">
      <c r="A209" s="2" t="s">
        <v>32</v>
      </c>
      <c r="B209" s="2" t="s">
        <v>258</v>
      </c>
      <c r="C209" s="2" t="n">
        <v>209</v>
      </c>
      <c r="D209" s="2" t="s">
        <v>33</v>
      </c>
      <c r="E209" s="2" t="s">
        <v>297</v>
      </c>
      <c r="F209" s="6" t="n">
        <f aca="false">COUNTIF(dados!$I$2:$I$1028,E209)</f>
        <v>1</v>
      </c>
      <c r="G209" s="10" t="n">
        <f aca="false">SUMIFS(dados!$M$2:$M$1028,dados!$I$2:$I$1028,E209)</f>
        <v>0.0424068345868355</v>
      </c>
      <c r="H209" s="7" t="n">
        <f aca="false">SQRT(G209*40000/PI())</f>
        <v>23.2366216914167</v>
      </c>
      <c r="I209" s="11" t="n">
        <f aca="false">_xlfn.MAXIFS(dados!$N$2:$N$1028,dados!$I$2:$I$1028,E209)</f>
        <v>13</v>
      </c>
      <c r="J209" s="3"/>
      <c r="K209" s="3"/>
    </row>
    <row r="210" customFormat="false" ht="15" hidden="false" customHeight="false" outlineLevel="0" collapsed="false">
      <c r="A210" s="2" t="s">
        <v>32</v>
      </c>
      <c r="B210" s="2" t="s">
        <v>258</v>
      </c>
      <c r="C210" s="2" t="n">
        <v>210</v>
      </c>
      <c r="D210" s="2" t="s">
        <v>33</v>
      </c>
      <c r="E210" s="2" t="s">
        <v>298</v>
      </c>
      <c r="F210" s="6" t="n">
        <f aca="false">COUNTIF(dados!$I$2:$I$1028,E210)</f>
        <v>1</v>
      </c>
      <c r="G210" s="10" t="n">
        <f aca="false">SUMIFS(dados!$M$2:$M$1028,dados!$I$2:$I$1028,E210)</f>
        <v>0.0378868342030257</v>
      </c>
      <c r="H210" s="7" t="n">
        <f aca="false">SQRT(G210*40000/PI())</f>
        <v>21.9633821466816</v>
      </c>
      <c r="I210" s="11" t="n">
        <f aca="false">_xlfn.MAXIFS(dados!$N$2:$N$1028,dados!$I$2:$I$1028,E210)</f>
        <v>13</v>
      </c>
      <c r="J210" s="3"/>
      <c r="K210" s="3"/>
    </row>
    <row r="211" customFormat="false" ht="15" hidden="false" customHeight="false" outlineLevel="0" collapsed="false">
      <c r="A211" s="2" t="s">
        <v>32</v>
      </c>
      <c r="B211" s="2" t="s">
        <v>258</v>
      </c>
      <c r="C211" s="2" t="n">
        <v>211</v>
      </c>
      <c r="D211" s="2" t="s">
        <v>37</v>
      </c>
      <c r="E211" s="2" t="s">
        <v>299</v>
      </c>
      <c r="F211" s="6" t="n">
        <f aca="false">COUNTIF(dados!$I$2:$I$1028,E211)</f>
        <v>3</v>
      </c>
      <c r="G211" s="10" t="n">
        <f aca="false">SUMIFS(dados!$M$2:$M$1028,dados!$I$2:$I$1028,E211)</f>
        <v>0.0155971844230057</v>
      </c>
      <c r="H211" s="7" t="n">
        <f aca="false">SQRT(G211*40000/PI())</f>
        <v>14.0921793892564</v>
      </c>
      <c r="I211" s="11" t="n">
        <f aca="false">_xlfn.MAXIFS(dados!$N$2:$N$1028,dados!$I$2:$I$1028,E211)</f>
        <v>10</v>
      </c>
      <c r="J211" s="3"/>
      <c r="K211" s="3"/>
    </row>
    <row r="212" customFormat="false" ht="15" hidden="false" customHeight="false" outlineLevel="0" collapsed="false">
      <c r="A212" s="2" t="s">
        <v>32</v>
      </c>
      <c r="B212" s="2" t="s">
        <v>258</v>
      </c>
      <c r="C212" s="2" t="n">
        <v>212</v>
      </c>
      <c r="D212" s="2" t="s">
        <v>33</v>
      </c>
      <c r="E212" s="2" t="s">
        <v>300</v>
      </c>
      <c r="F212" s="6" t="n">
        <f aca="false">COUNTIF(dados!$I$2:$I$1028,E212)</f>
        <v>1</v>
      </c>
      <c r="G212" s="10" t="n">
        <f aca="false">SUMIFS(dados!$M$2:$M$1028,dados!$I$2:$I$1028,E212)</f>
        <v>0.00203718327157626</v>
      </c>
      <c r="H212" s="7" t="n">
        <f aca="false">SQRT(G212*40000/PI())</f>
        <v>5.09295817894065</v>
      </c>
      <c r="I212" s="11" t="n">
        <f aca="false">_xlfn.MAXIFS(dados!$N$2:$N$1028,dados!$I$2:$I$1028,E212)</f>
        <v>5</v>
      </c>
      <c r="J212" s="3"/>
      <c r="K212" s="3"/>
    </row>
    <row r="213" customFormat="false" ht="15" hidden="false" customHeight="false" outlineLevel="0" collapsed="false">
      <c r="A213" s="2" t="s">
        <v>32</v>
      </c>
      <c r="B213" s="2" t="s">
        <v>258</v>
      </c>
      <c r="C213" s="2" t="n">
        <v>213</v>
      </c>
      <c r="D213" s="2" t="s">
        <v>33</v>
      </c>
      <c r="E213" s="2" t="s">
        <v>301</v>
      </c>
      <c r="F213" s="6" t="n">
        <f aca="false">COUNTIF(dados!$I$2:$I$1028,E213)</f>
        <v>1</v>
      </c>
      <c r="G213" s="10" t="n">
        <f aca="false">SUMIFS(dados!$M$2:$M$1028,dados!$I$2:$I$1028,E213)</f>
        <v>0.00229978892767789</v>
      </c>
      <c r="H213" s="7" t="n">
        <f aca="false">SQRT(G213*40000/PI())</f>
        <v>5.41126806512444</v>
      </c>
      <c r="I213" s="11" t="n">
        <f aca="false">_xlfn.MAXIFS(dados!$N$2:$N$1028,dados!$I$2:$I$1028,E213)</f>
        <v>7</v>
      </c>
      <c r="J213" s="3"/>
      <c r="K213" s="3"/>
    </row>
    <row r="214" customFormat="false" ht="15" hidden="false" customHeight="false" outlineLevel="0" collapsed="false">
      <c r="A214" s="2" t="s">
        <v>32</v>
      </c>
      <c r="B214" s="2" t="s">
        <v>258</v>
      </c>
      <c r="C214" s="2" t="n">
        <v>214</v>
      </c>
      <c r="D214" s="2" t="s">
        <v>49</v>
      </c>
      <c r="E214" s="2" t="s">
        <v>302</v>
      </c>
      <c r="F214" s="6" t="n">
        <f aca="false">COUNTIF(dados!$I$2:$I$1028,E214)</f>
        <v>1</v>
      </c>
      <c r="G214" s="10" t="n">
        <f aca="false">SUMIFS(dados!$M$2:$M$1028,dados!$I$2:$I$1028,E214)</f>
        <v>0.00497359197162173</v>
      </c>
      <c r="H214" s="7" t="n">
        <f aca="false">SQRT(G214*40000/PI())</f>
        <v>7.95774715459477</v>
      </c>
      <c r="I214" s="11" t="n">
        <f aca="false">_xlfn.MAXIFS(dados!$N$2:$N$1028,dados!$I$2:$I$1028,E214)</f>
        <v>8</v>
      </c>
      <c r="J214" s="3"/>
      <c r="K214" s="3"/>
    </row>
    <row r="215" customFormat="false" ht="15" hidden="false" customHeight="false" outlineLevel="0" collapsed="false">
      <c r="A215" s="2" t="s">
        <v>32</v>
      </c>
      <c r="B215" s="2" t="s">
        <v>258</v>
      </c>
      <c r="C215" s="2" t="n">
        <v>215</v>
      </c>
      <c r="D215" s="2" t="s">
        <v>33</v>
      </c>
      <c r="E215" s="2" t="s">
        <v>303</v>
      </c>
      <c r="F215" s="6" t="n">
        <f aca="false">COUNTIF(dados!$I$2:$I$1028,E215)</f>
        <v>1</v>
      </c>
      <c r="G215" s="10" t="n">
        <f aca="false">SUMIFS(dados!$M$2:$M$1028,dados!$I$2:$I$1028,E215)</f>
        <v>0.00537943707650606</v>
      </c>
      <c r="H215" s="7" t="n">
        <f aca="false">SQRT(G215*40000/PI())</f>
        <v>8.27605704077856</v>
      </c>
      <c r="I215" s="11" t="n">
        <f aca="false">_xlfn.MAXIFS(dados!$N$2:$N$1028,dados!$I$2:$I$1028,E215)</f>
        <v>10</v>
      </c>
      <c r="J215" s="3"/>
      <c r="K215" s="3"/>
    </row>
    <row r="216" customFormat="false" ht="15" hidden="false" customHeight="false" outlineLevel="0" collapsed="false">
      <c r="A216" s="2" t="s">
        <v>32</v>
      </c>
      <c r="B216" s="2" t="s">
        <v>258</v>
      </c>
      <c r="C216" s="2" t="n">
        <v>216</v>
      </c>
      <c r="D216" s="2" t="s">
        <v>37</v>
      </c>
      <c r="E216" s="2" t="s">
        <v>304</v>
      </c>
      <c r="F216" s="6" t="n">
        <f aca="false">COUNTIF(dados!$I$2:$I$1028,E216)</f>
        <v>2</v>
      </c>
      <c r="G216" s="10" t="n">
        <f aca="false">SUMIFS(dados!$M$2:$M$1028,dados!$I$2:$I$1028,E216)</f>
        <v>0.0116183108457084</v>
      </c>
      <c r="H216" s="7" t="n">
        <f aca="false">SQRT(G216*40000/PI())</f>
        <v>12.1626036734662</v>
      </c>
      <c r="I216" s="11" t="n">
        <f aca="false">_xlfn.MAXIFS(dados!$N$2:$N$1028,dados!$I$2:$I$1028,E216)</f>
        <v>5</v>
      </c>
      <c r="J216" s="3"/>
      <c r="K216" s="3"/>
    </row>
    <row r="217" customFormat="false" ht="15" hidden="false" customHeight="false" outlineLevel="0" collapsed="false">
      <c r="A217" s="2" t="s">
        <v>32</v>
      </c>
      <c r="B217" s="2" t="s">
        <v>258</v>
      </c>
      <c r="C217" s="2" t="n">
        <v>217</v>
      </c>
      <c r="D217" s="2" t="s">
        <v>33</v>
      </c>
      <c r="E217" s="2" t="s">
        <v>305</v>
      </c>
      <c r="F217" s="6" t="n">
        <f aca="false">COUNTIF(dados!$I$2:$I$1028,E217)</f>
        <v>1</v>
      </c>
      <c r="G217" s="10" t="n">
        <f aca="false">SUMIFS(dados!$M$2:$M$1028,dados!$I$2:$I$1028,E217)</f>
        <v>0.0168385929791225</v>
      </c>
      <c r="H217" s="7" t="n">
        <f aca="false">SQRT(G217*40000/PI())</f>
        <v>14.6422547644544</v>
      </c>
      <c r="I217" s="11" t="n">
        <f aca="false">_xlfn.MAXIFS(dados!$N$2:$N$1028,dados!$I$2:$I$1028,E217)</f>
        <v>13</v>
      </c>
      <c r="J217" s="3"/>
      <c r="K217" s="3"/>
    </row>
    <row r="218" customFormat="false" ht="15" hidden="false" customHeight="false" outlineLevel="0" collapsed="false">
      <c r="A218" s="2" t="s">
        <v>32</v>
      </c>
      <c r="B218" s="2" t="s">
        <v>258</v>
      </c>
      <c r="C218" s="2" t="n">
        <v>218</v>
      </c>
      <c r="D218" s="2" t="s">
        <v>37</v>
      </c>
      <c r="E218" s="2" t="s">
        <v>306</v>
      </c>
      <c r="F218" s="6" t="n">
        <f aca="false">COUNTIF(dados!$I$2:$I$1028,E218)</f>
        <v>2</v>
      </c>
      <c r="G218" s="10" t="n">
        <f aca="false">SUMIFS(dados!$M$2:$M$1028,dados!$I$2:$I$1028,E218)</f>
        <v>0.00827605704077856</v>
      </c>
      <c r="H218" s="7" t="n">
        <f aca="false">SQRT(G218*40000/PI())</f>
        <v>10.2651853849812</v>
      </c>
      <c r="I218" s="11" t="n">
        <f aca="false">_xlfn.MAXIFS(dados!$N$2:$N$1028,dados!$I$2:$I$1028,E218)</f>
        <v>5</v>
      </c>
      <c r="J218" s="3"/>
      <c r="K218" s="3"/>
    </row>
    <row r="219" customFormat="false" ht="15" hidden="false" customHeight="false" outlineLevel="0" collapsed="false">
      <c r="A219" s="2" t="s">
        <v>32</v>
      </c>
      <c r="B219" s="2" t="s">
        <v>258</v>
      </c>
      <c r="C219" s="2" t="n">
        <v>219</v>
      </c>
      <c r="D219" s="2" t="s">
        <v>37</v>
      </c>
      <c r="E219" s="2" t="s">
        <v>307</v>
      </c>
      <c r="F219" s="6" t="n">
        <f aca="false">COUNTIF(dados!$I$2:$I$1028,E219)</f>
        <v>2</v>
      </c>
      <c r="G219" s="10" t="n">
        <f aca="false">SUMIFS(dados!$M$2:$M$1028,dados!$I$2:$I$1028,E219)</f>
        <v>0.00522028213341417</v>
      </c>
      <c r="H219" s="7" t="n">
        <f aca="false">SQRT(G219*40000/PI())</f>
        <v>8.15271098895169</v>
      </c>
      <c r="I219" s="11" t="n">
        <f aca="false">_xlfn.MAXIFS(dados!$N$2:$N$1028,dados!$I$2:$I$1028,E219)</f>
        <v>2</v>
      </c>
      <c r="J219" s="3"/>
      <c r="K219" s="3"/>
    </row>
    <row r="220" customFormat="false" ht="15" hidden="false" customHeight="false" outlineLevel="0" collapsed="false">
      <c r="A220" s="2" t="s">
        <v>32</v>
      </c>
      <c r="B220" s="2" t="s">
        <v>258</v>
      </c>
      <c r="C220" s="2" t="n">
        <v>220</v>
      </c>
      <c r="D220" s="2" t="s">
        <v>37</v>
      </c>
      <c r="E220" s="2" t="s">
        <v>308</v>
      </c>
      <c r="F220" s="6" t="n">
        <f aca="false">COUNTIF(dados!$I$2:$I$1028,E220)</f>
        <v>1</v>
      </c>
      <c r="G220" s="10" t="n">
        <f aca="false">SUMIFS(dados!$M$2:$M$1028,dados!$I$2:$I$1028,E220)</f>
        <v>0.0161144379880544</v>
      </c>
      <c r="H220" s="7" t="n">
        <f aca="false">SQRT(G220*40000/PI())</f>
        <v>14.3239448782706</v>
      </c>
      <c r="I220" s="11" t="n">
        <f aca="false">_xlfn.MAXIFS(dados!$N$2:$N$1028,dados!$I$2:$I$1028,E220)</f>
        <v>13</v>
      </c>
      <c r="J220" s="3"/>
      <c r="K220" s="3"/>
    </row>
    <row r="221" customFormat="false" ht="15" hidden="false" customHeight="false" outlineLevel="0" collapsed="false">
      <c r="A221" s="2" t="s">
        <v>32</v>
      </c>
      <c r="B221" s="2" t="s">
        <v>258</v>
      </c>
      <c r="C221" s="2" t="n">
        <v>221</v>
      </c>
      <c r="D221" s="2" t="s">
        <v>37</v>
      </c>
      <c r="E221" s="2" t="s">
        <v>309</v>
      </c>
      <c r="F221" s="6" t="n">
        <f aca="false">COUNTIF(dados!$I$2:$I$1028,E221)</f>
        <v>1</v>
      </c>
      <c r="G221" s="10" t="n">
        <f aca="false">SUMIFS(dados!$M$2:$M$1028,dados!$I$2:$I$1028,E221)</f>
        <v>0.00350936649517629</v>
      </c>
      <c r="H221" s="7" t="n">
        <f aca="false">SQRT(G221*40000/PI())</f>
        <v>6.68450760985961</v>
      </c>
      <c r="I221" s="11" t="n">
        <f aca="false">_xlfn.MAXIFS(dados!$N$2:$N$1028,dados!$I$2:$I$1028,E221)</f>
        <v>8</v>
      </c>
      <c r="J221" s="3"/>
      <c r="K221" s="3"/>
    </row>
    <row r="222" customFormat="false" ht="15" hidden="false" customHeight="false" outlineLevel="0" collapsed="false">
      <c r="A222" s="2" t="s">
        <v>32</v>
      </c>
      <c r="B222" s="2" t="s">
        <v>258</v>
      </c>
      <c r="C222" s="2" t="n">
        <v>222</v>
      </c>
      <c r="D222" s="2" t="s">
        <v>37</v>
      </c>
      <c r="E222" s="2" t="s">
        <v>310</v>
      </c>
      <c r="F222" s="6" t="n">
        <f aca="false">COUNTIF(dados!$I$2:$I$1028,E222)</f>
        <v>1</v>
      </c>
      <c r="G222" s="10" t="n">
        <f aca="false">SUMIFS(dados!$M$2:$M$1028,dados!$I$2:$I$1028,E222)</f>
        <v>0.00385154962282387</v>
      </c>
      <c r="H222" s="7" t="n">
        <f aca="false">SQRT(G222*40000/PI())</f>
        <v>7.0028174960434</v>
      </c>
      <c r="I222" s="11" t="n">
        <f aca="false">_xlfn.MAXIFS(dados!$N$2:$N$1028,dados!$I$2:$I$1028,E222)</f>
        <v>3</v>
      </c>
      <c r="J222" s="3"/>
      <c r="K222" s="3"/>
    </row>
    <row r="223" customFormat="false" ht="15" hidden="false" customHeight="false" outlineLevel="0" collapsed="false">
      <c r="A223" s="2" t="s">
        <v>32</v>
      </c>
      <c r="B223" s="2" t="s">
        <v>311</v>
      </c>
      <c r="C223" s="2" t="n">
        <v>223</v>
      </c>
      <c r="D223" s="2" t="s">
        <v>37</v>
      </c>
      <c r="E223" s="2" t="s">
        <v>312</v>
      </c>
      <c r="F223" s="6" t="n">
        <f aca="false">COUNTIF(dados!$I$2:$I$1028,E223)</f>
        <v>1</v>
      </c>
      <c r="G223" s="10" t="n">
        <f aca="false">SUMIFS(dados!$M$2:$M$1028,dados!$I$2:$I$1028,E223)</f>
        <v>0.00974824026437859</v>
      </c>
      <c r="H223" s="7" t="n">
        <f aca="false">SQRT(G223*40000/PI())</f>
        <v>11.1408460164327</v>
      </c>
      <c r="I223" s="11" t="n">
        <f aca="false">_xlfn.MAXIFS(dados!$N$2:$N$1028,dados!$I$2:$I$1028,E223)</f>
        <v>12</v>
      </c>
      <c r="J223" s="3"/>
      <c r="K223" s="3"/>
    </row>
    <row r="224" customFormat="false" ht="15" hidden="false" customHeight="false" outlineLevel="0" collapsed="false">
      <c r="A224" s="2" t="s">
        <v>32</v>
      </c>
      <c r="B224" s="2" t="s">
        <v>311</v>
      </c>
      <c r="C224" s="2" t="n">
        <v>224</v>
      </c>
      <c r="D224" s="2" t="s">
        <v>37</v>
      </c>
      <c r="E224" s="2" t="s">
        <v>313</v>
      </c>
      <c r="F224" s="6" t="n">
        <f aca="false">COUNTIF(dados!$I$2:$I$1028,E224)</f>
        <v>1</v>
      </c>
      <c r="G224" s="10" t="n">
        <f aca="false">SUMIFS(dados!$M$2:$M$1028,dados!$I$2:$I$1028,E224)</f>
        <v>0.0103132403123548</v>
      </c>
      <c r="H224" s="7" t="n">
        <f aca="false">SQRT(G224*40000/PI())</f>
        <v>11.4591559026165</v>
      </c>
      <c r="I224" s="11" t="n">
        <f aca="false">_xlfn.MAXIFS(dados!$N$2:$N$1028,dados!$I$2:$I$1028,E224)</f>
        <v>11</v>
      </c>
      <c r="J224" s="3"/>
      <c r="K224" s="3"/>
    </row>
    <row r="225" customFormat="false" ht="15" hidden="false" customHeight="false" outlineLevel="0" collapsed="false">
      <c r="A225" s="2" t="s">
        <v>32</v>
      </c>
      <c r="B225" s="2" t="s">
        <v>311</v>
      </c>
      <c r="C225" s="2" t="n">
        <v>225</v>
      </c>
      <c r="D225" s="2" t="s">
        <v>37</v>
      </c>
      <c r="E225" s="2" t="s">
        <v>314</v>
      </c>
      <c r="F225" s="6" t="n">
        <f aca="false">COUNTIF(dados!$I$2:$I$1028,E225)</f>
        <v>1</v>
      </c>
      <c r="G225" s="10" t="n">
        <f aca="false">SUMIFS(dados!$M$2:$M$1028,dados!$I$2:$I$1028,E225)</f>
        <v>0.0258547205052784</v>
      </c>
      <c r="H225" s="7" t="n">
        <f aca="false">SQRT(G225*40000/PI())</f>
        <v>18.1436635124761</v>
      </c>
      <c r="I225" s="11" t="n">
        <f aca="false">_xlfn.MAXIFS(dados!$N$2:$N$1028,dados!$I$2:$I$1028,E225)</f>
        <v>13</v>
      </c>
      <c r="J225" s="3"/>
      <c r="K225" s="3"/>
    </row>
    <row r="226" customFormat="false" ht="15" hidden="false" customHeight="false" outlineLevel="0" collapsed="false">
      <c r="A226" s="2" t="s">
        <v>32</v>
      </c>
      <c r="B226" s="2" t="s">
        <v>311</v>
      </c>
      <c r="C226" s="2" t="n">
        <v>226</v>
      </c>
      <c r="D226" s="2" t="s">
        <v>33</v>
      </c>
      <c r="E226" s="2" t="s">
        <v>315</v>
      </c>
      <c r="F226" s="6" t="n">
        <f aca="false">COUNTIF(dados!$I$2:$I$1028,E226)</f>
        <v>1</v>
      </c>
      <c r="G226" s="10" t="n">
        <f aca="false">SUMIFS(dados!$M$2:$M$1028,dados!$I$2:$I$1028,E226)</f>
        <v>0.0062388737692023</v>
      </c>
      <c r="H226" s="7" t="n">
        <f aca="false">SQRT(G226*40000/PI())</f>
        <v>8.91267681314614</v>
      </c>
      <c r="I226" s="11" t="n">
        <f aca="false">_xlfn.MAXIFS(dados!$N$2:$N$1028,dados!$I$2:$I$1028,E226)</f>
        <v>7</v>
      </c>
      <c r="J226" s="3"/>
      <c r="K226" s="3"/>
    </row>
    <row r="227" customFormat="false" ht="15" hidden="false" customHeight="false" outlineLevel="0" collapsed="false">
      <c r="A227" s="2" t="s">
        <v>32</v>
      </c>
      <c r="B227" s="2" t="s">
        <v>311</v>
      </c>
      <c r="C227" s="2" t="n">
        <v>227</v>
      </c>
      <c r="D227" s="2" t="s">
        <v>33</v>
      </c>
      <c r="E227" s="2" t="s">
        <v>316</v>
      </c>
      <c r="F227" s="6" t="n">
        <f aca="false">COUNTIF(dados!$I$2:$I$1028,E227)</f>
        <v>1</v>
      </c>
      <c r="G227" s="10" t="n">
        <f aca="false">SUMIFS(dados!$M$2:$M$1028,dados!$I$2:$I$1028,E227)</f>
        <v>0.00420964824478063</v>
      </c>
      <c r="H227" s="7" t="n">
        <f aca="false">SQRT(G227*40000/PI())</f>
        <v>7.32112738222719</v>
      </c>
      <c r="I227" s="11" t="n">
        <f aca="false">_xlfn.MAXIFS(dados!$N$2:$N$1028,dados!$I$2:$I$1028,E227)</f>
        <v>5</v>
      </c>
      <c r="J227" s="3"/>
      <c r="K227" s="3"/>
    </row>
    <row r="228" customFormat="false" ht="15" hidden="false" customHeight="false" outlineLevel="0" collapsed="false">
      <c r="A228" s="2" t="s">
        <v>32</v>
      </c>
      <c r="B228" s="2" t="s">
        <v>311</v>
      </c>
      <c r="C228" s="2" t="n">
        <v>228</v>
      </c>
      <c r="D228" s="2" t="s">
        <v>37</v>
      </c>
      <c r="E228" s="2" t="s">
        <v>317</v>
      </c>
      <c r="F228" s="6" t="n">
        <f aca="false">COUNTIF(dados!$I$2:$I$1028,E228)</f>
        <v>1</v>
      </c>
      <c r="G228" s="10" t="n">
        <f aca="false">SUMIFS(dados!$M$2:$M$1028,dados!$I$2:$I$1028,E228)</f>
        <v>0.00537943707650606</v>
      </c>
      <c r="H228" s="7" t="n">
        <f aca="false">SQRT(G228*40000/PI())</f>
        <v>8.27605704077856</v>
      </c>
      <c r="I228" s="11" t="n">
        <f aca="false">_xlfn.MAXIFS(dados!$N$2:$N$1028,dados!$I$2:$I$1028,E228)</f>
        <v>9</v>
      </c>
      <c r="J228" s="3"/>
      <c r="K228" s="3"/>
    </row>
    <row r="229" customFormat="false" ht="15" hidden="false" customHeight="false" outlineLevel="0" collapsed="false">
      <c r="A229" s="2" t="s">
        <v>32</v>
      </c>
      <c r="B229" s="2" t="s">
        <v>311</v>
      </c>
      <c r="C229" s="2" t="n">
        <v>229</v>
      </c>
      <c r="D229" s="2" t="s">
        <v>33</v>
      </c>
      <c r="E229" s="2" t="s">
        <v>318</v>
      </c>
      <c r="F229" s="6" t="n">
        <f aca="false">COUNTIF(dados!$I$2:$I$1028,E229)</f>
        <v>1</v>
      </c>
      <c r="G229" s="10" t="n">
        <f aca="false">SUMIFS(dados!$M$2:$M$1028,dados!$I$2:$I$1028,E229)</f>
        <v>0.0025783100780887</v>
      </c>
      <c r="H229" s="7" t="n">
        <f aca="false">SQRT(G229*40000/PI())</f>
        <v>5.72957795130823</v>
      </c>
      <c r="I229" s="11" t="n">
        <f aca="false">_xlfn.MAXIFS(dados!$N$2:$N$1028,dados!$I$2:$I$1028,E229)</f>
        <v>4</v>
      </c>
      <c r="J229" s="3"/>
      <c r="K229" s="3"/>
    </row>
    <row r="230" customFormat="false" ht="15" hidden="false" customHeight="false" outlineLevel="0" collapsed="false">
      <c r="A230" s="2" t="s">
        <v>32</v>
      </c>
      <c r="B230" s="2" t="s">
        <v>311</v>
      </c>
      <c r="C230" s="2" t="n">
        <v>230</v>
      </c>
      <c r="D230" s="2" t="s">
        <v>37</v>
      </c>
      <c r="E230" s="2" t="s">
        <v>319</v>
      </c>
      <c r="F230" s="6" t="n">
        <f aca="false">COUNTIF(dados!$I$2:$I$1028,E230)</f>
        <v>1</v>
      </c>
      <c r="G230" s="10" t="n">
        <f aca="false">SUMIFS(dados!$M$2:$M$1028,dados!$I$2:$I$1028,E230)</f>
        <v>0.0223533117572567</v>
      </c>
      <c r="H230" s="7" t="n">
        <f aca="false">SQRT(G230*40000/PI())</f>
        <v>16.8704239677409</v>
      </c>
      <c r="I230" s="11" t="n">
        <f aca="false">_xlfn.MAXIFS(dados!$N$2:$N$1028,dados!$I$2:$I$1028,E230)</f>
        <v>12</v>
      </c>
      <c r="J230" s="3"/>
      <c r="K230" s="3"/>
    </row>
    <row r="231" customFormat="false" ht="15" hidden="false" customHeight="false" outlineLevel="0" collapsed="false">
      <c r="A231" s="2" t="s">
        <v>32</v>
      </c>
      <c r="B231" s="2" t="s">
        <v>311</v>
      </c>
      <c r="C231" s="2" t="n">
        <v>231</v>
      </c>
      <c r="D231" s="2" t="s">
        <v>37</v>
      </c>
      <c r="E231" s="2" t="s">
        <v>320</v>
      </c>
      <c r="F231" s="6" t="n">
        <f aca="false">COUNTIF(dados!$I$2:$I$1028,E231)</f>
        <v>1</v>
      </c>
      <c r="G231" s="10" t="n">
        <f aca="false">SUMIFS(dados!$M$2:$M$1028,dados!$I$2:$I$1028,E231)</f>
        <v>0.0086659866513537</v>
      </c>
      <c r="H231" s="7" t="n">
        <f aca="false">SQRT(G231*40000/PI())</f>
        <v>10.5042262440651</v>
      </c>
      <c r="I231" s="11" t="n">
        <f aca="false">_xlfn.MAXIFS(dados!$N$2:$N$1028,dados!$I$2:$I$1028,E231)</f>
        <v>4</v>
      </c>
      <c r="J231" s="3"/>
      <c r="K231" s="3"/>
    </row>
    <row r="232" customFormat="false" ht="15" hidden="false" customHeight="false" outlineLevel="0" collapsed="false">
      <c r="A232" s="2" t="s">
        <v>32</v>
      </c>
      <c r="B232" s="2" t="s">
        <v>311</v>
      </c>
      <c r="C232" s="2" t="n">
        <v>232</v>
      </c>
      <c r="D232" s="2" t="s">
        <v>37</v>
      </c>
      <c r="E232" s="2" t="s">
        <v>321</v>
      </c>
      <c r="F232" s="6" t="n">
        <f aca="false">COUNTIF(dados!$I$2:$I$1028,E232)</f>
        <v>1</v>
      </c>
      <c r="G232" s="10" t="n">
        <f aca="false">SUMIFS(dados!$M$2:$M$1028,dados!$I$2:$I$1028,E232)</f>
        <v>0.00134485926912652</v>
      </c>
      <c r="H232" s="7" t="n">
        <f aca="false">SQRT(G232*40000/PI())</f>
        <v>4.13802852038928</v>
      </c>
      <c r="I232" s="11" t="n">
        <f aca="false">_xlfn.MAXIFS(dados!$N$2:$N$1028,dados!$I$2:$I$1028,E232)</f>
        <v>48</v>
      </c>
      <c r="J232" s="3"/>
      <c r="K232" s="3"/>
    </row>
    <row r="233" customFormat="false" ht="15" hidden="false" customHeight="false" outlineLevel="0" collapsed="false">
      <c r="A233" s="2" t="s">
        <v>32</v>
      </c>
      <c r="B233" s="2" t="s">
        <v>311</v>
      </c>
      <c r="C233" s="2" t="n">
        <v>233</v>
      </c>
      <c r="D233" s="2" t="s">
        <v>37</v>
      </c>
      <c r="E233" s="2" t="s">
        <v>322</v>
      </c>
      <c r="F233" s="6" t="n">
        <f aca="false">COUNTIF(dados!$I$2:$I$1028,E233)</f>
        <v>1</v>
      </c>
      <c r="G233" s="10" t="n">
        <f aca="false">SUMIFS(dados!$M$2:$M$1028,dados!$I$2:$I$1028,E233)</f>
        <v>0.00919915571071155</v>
      </c>
      <c r="H233" s="7" t="n">
        <f aca="false">SQRT(G233*40000/PI())</f>
        <v>10.8225361302489</v>
      </c>
      <c r="I233" s="11" t="n">
        <f aca="false">_xlfn.MAXIFS(dados!$N$2:$N$1028,dados!$I$2:$I$1028,E233)</f>
        <v>7</v>
      </c>
      <c r="J233" s="3"/>
      <c r="K233" s="3"/>
    </row>
    <row r="234" customFormat="false" ht="15" hidden="false" customHeight="false" outlineLevel="0" collapsed="false">
      <c r="A234" s="2" t="s">
        <v>32</v>
      </c>
      <c r="B234" s="2" t="s">
        <v>311</v>
      </c>
      <c r="C234" s="2" t="n">
        <v>234</v>
      </c>
      <c r="D234" s="2" t="s">
        <v>33</v>
      </c>
      <c r="E234" s="2" t="s">
        <v>323</v>
      </c>
      <c r="F234" s="6" t="n">
        <f aca="false">COUNTIF(dados!$I$2:$I$1028,E234)</f>
        <v>1</v>
      </c>
      <c r="G234" s="10" t="n">
        <f aca="false">SUMIFS(dados!$M$2:$M$1028,dados!$I$2:$I$1028,E234)</f>
        <v>0.00318309886183791</v>
      </c>
      <c r="H234" s="7" t="n">
        <f aca="false">SQRT(G234*40000/PI())</f>
        <v>6.36619772367581</v>
      </c>
      <c r="I234" s="11" t="n">
        <f aca="false">_xlfn.MAXIFS(dados!$N$2:$N$1028,dados!$I$2:$I$1028,E234)</f>
        <v>6</v>
      </c>
      <c r="J234" s="3"/>
      <c r="K234" s="3"/>
    </row>
    <row r="235" customFormat="false" ht="15" hidden="false" customHeight="false" outlineLevel="0" collapsed="false">
      <c r="A235" s="2" t="s">
        <v>32</v>
      </c>
      <c r="B235" s="2" t="s">
        <v>311</v>
      </c>
      <c r="C235" s="2" t="n">
        <v>235</v>
      </c>
      <c r="D235" s="2" t="s">
        <v>37</v>
      </c>
      <c r="E235" s="2" t="s">
        <v>324</v>
      </c>
      <c r="F235" s="6" t="n">
        <f aca="false">COUNTIF(dados!$I$2:$I$1028,E235)</f>
        <v>1</v>
      </c>
      <c r="G235" s="10" t="n">
        <f aca="false">SUMIFS(dados!$M$2:$M$1028,dados!$I$2:$I$1028,E235)</f>
        <v>0.0127323954473516</v>
      </c>
      <c r="H235" s="7" t="n">
        <f aca="false">SQRT(G235*40000/PI())</f>
        <v>12.7323954473516</v>
      </c>
      <c r="I235" s="11" t="n">
        <f aca="false">_xlfn.MAXIFS(dados!$N$2:$N$1028,dados!$I$2:$I$1028,E235)</f>
        <v>9</v>
      </c>
      <c r="J235" s="3"/>
      <c r="K235" s="3"/>
    </row>
    <row r="236" customFormat="false" ht="15" hidden="false" customHeight="false" outlineLevel="0" collapsed="false">
      <c r="A236" s="2" t="s">
        <v>32</v>
      </c>
      <c r="B236" s="2" t="s">
        <v>311</v>
      </c>
      <c r="C236" s="2" t="n">
        <v>236</v>
      </c>
      <c r="D236" s="2" t="s">
        <v>37</v>
      </c>
      <c r="E236" s="2" t="s">
        <v>325</v>
      </c>
      <c r="F236" s="6" t="n">
        <f aca="false">COUNTIF(dados!$I$2:$I$1028,E236)</f>
        <v>1</v>
      </c>
      <c r="G236" s="10" t="n">
        <f aca="false">SUMIFS(dados!$M$2:$M$1028,dados!$I$2:$I$1028,E236)</f>
        <v>0.0066924653570142</v>
      </c>
      <c r="H236" s="7" t="n">
        <f aca="false">SQRT(G236*40000/PI())</f>
        <v>9.23098669932993</v>
      </c>
      <c r="I236" s="11" t="n">
        <f aca="false">_xlfn.MAXIFS(dados!$N$2:$N$1028,dados!$I$2:$I$1028,E236)</f>
        <v>10</v>
      </c>
      <c r="J236" s="3"/>
      <c r="K236" s="3"/>
    </row>
    <row r="237" customFormat="false" ht="15" hidden="false" customHeight="false" outlineLevel="0" collapsed="false">
      <c r="A237" s="2" t="s">
        <v>32</v>
      </c>
      <c r="B237" s="2" t="s">
        <v>311</v>
      </c>
      <c r="C237" s="2" t="n">
        <v>237</v>
      </c>
      <c r="D237" s="2" t="s">
        <v>37</v>
      </c>
      <c r="E237" s="2" t="s">
        <v>326</v>
      </c>
      <c r="F237" s="6" t="n">
        <f aca="false">COUNTIF(dados!$I$2:$I$1028,E237)</f>
        <v>1</v>
      </c>
      <c r="G237" s="10" t="n">
        <f aca="false">SUMIFS(dados!$M$2:$M$1028,dados!$I$2:$I$1028,E237)</f>
        <v>0.0066924653570142</v>
      </c>
      <c r="H237" s="7" t="n">
        <f aca="false">SQRT(G237*40000/PI())</f>
        <v>9.23098669932993</v>
      </c>
      <c r="I237" s="11" t="n">
        <f aca="false">_xlfn.MAXIFS(dados!$N$2:$N$1028,dados!$I$2:$I$1028,E237)</f>
        <v>6</v>
      </c>
      <c r="J237" s="3"/>
      <c r="K237" s="3"/>
    </row>
    <row r="238" customFormat="false" ht="15" hidden="false" customHeight="false" outlineLevel="0" collapsed="false">
      <c r="A238" s="2" t="s">
        <v>32</v>
      </c>
      <c r="B238" s="2" t="s">
        <v>311</v>
      </c>
      <c r="C238" s="2" t="n">
        <v>238</v>
      </c>
      <c r="D238" s="2" t="s">
        <v>37</v>
      </c>
      <c r="E238" s="2" t="s">
        <v>327</v>
      </c>
      <c r="F238" s="6" t="n">
        <f aca="false">COUNTIF(dados!$I$2:$I$1028,E238)</f>
        <v>1</v>
      </c>
      <c r="G238" s="10" t="n">
        <f aca="false">SUMIFS(dados!$M$2:$M$1028,dados!$I$2:$I$1028,E238)</f>
        <v>0.00764739501556557</v>
      </c>
      <c r="H238" s="7" t="n">
        <f aca="false">SQRT(G238*40000/PI())</f>
        <v>9.86760647169751</v>
      </c>
      <c r="I238" s="11" t="n">
        <f aca="false">_xlfn.MAXIFS(dados!$N$2:$N$1028,dados!$I$2:$I$1028,E238)</f>
        <v>11</v>
      </c>
      <c r="J238" s="3"/>
      <c r="K238" s="3"/>
    </row>
    <row r="239" customFormat="false" ht="15" hidden="false" customHeight="false" outlineLevel="0" collapsed="false">
      <c r="A239" s="2" t="s">
        <v>32</v>
      </c>
      <c r="B239" s="2" t="s">
        <v>311</v>
      </c>
      <c r="C239" s="2" t="n">
        <v>239</v>
      </c>
      <c r="D239" s="2" t="s">
        <v>33</v>
      </c>
      <c r="E239" s="2" t="s">
        <v>328</v>
      </c>
      <c r="F239" s="6" t="n">
        <f aca="false">COUNTIF(dados!$I$2:$I$1028,E239)</f>
        <v>1</v>
      </c>
      <c r="G239" s="10" t="n">
        <f aca="false">SUMIFS(dados!$M$2:$M$1028,dados!$I$2:$I$1028,E239)</f>
        <v>0.00318309886183791</v>
      </c>
      <c r="H239" s="7" t="n">
        <f aca="false">SQRT(G239*40000/PI())</f>
        <v>6.36619772367581</v>
      </c>
      <c r="I239" s="11" t="n">
        <f aca="false">_xlfn.MAXIFS(dados!$N$2:$N$1028,dados!$I$2:$I$1028,E239)</f>
        <v>5</v>
      </c>
      <c r="J239" s="3"/>
      <c r="K239" s="3"/>
    </row>
    <row r="240" customFormat="false" ht="15" hidden="false" customHeight="false" outlineLevel="0" collapsed="false">
      <c r="A240" s="2" t="s">
        <v>32</v>
      </c>
      <c r="B240" s="2" t="s">
        <v>311</v>
      </c>
      <c r="C240" s="2" t="n">
        <v>240</v>
      </c>
      <c r="D240" s="2" t="s">
        <v>37</v>
      </c>
      <c r="E240" s="2" t="s">
        <v>329</v>
      </c>
      <c r="F240" s="6" t="n">
        <f aca="false">COUNTIF(dados!$I$2:$I$1028,E240)</f>
        <v>1</v>
      </c>
      <c r="G240" s="10" t="n">
        <f aca="false">SUMIFS(dados!$M$2:$M$1028,dados!$I$2:$I$1028,E240)</f>
        <v>0.0161144379880544</v>
      </c>
      <c r="H240" s="7" t="n">
        <f aca="false">SQRT(G240*40000/PI())</f>
        <v>14.3239448782706</v>
      </c>
      <c r="I240" s="11" t="n">
        <f aca="false">_xlfn.MAXIFS(dados!$N$2:$N$1028,dados!$I$2:$I$1028,E240)</f>
        <v>14</v>
      </c>
      <c r="J240" s="3"/>
      <c r="K240" s="3"/>
    </row>
    <row r="241" customFormat="false" ht="15" hidden="false" customHeight="false" outlineLevel="0" collapsed="false">
      <c r="A241" s="2" t="s">
        <v>32</v>
      </c>
      <c r="B241" s="2" t="s">
        <v>311</v>
      </c>
      <c r="C241" s="2" t="n">
        <v>241</v>
      </c>
      <c r="D241" s="2" t="s">
        <v>37</v>
      </c>
      <c r="E241" s="2" t="s">
        <v>330</v>
      </c>
      <c r="F241" s="6" t="n">
        <f aca="false">COUNTIF(dados!$I$2:$I$1028,E241)</f>
        <v>1</v>
      </c>
      <c r="G241" s="10" t="n">
        <f aca="false">SUMIFS(dados!$M$2:$M$1028,dados!$I$2:$I$1028,E241)</f>
        <v>0.00974824026437859</v>
      </c>
      <c r="H241" s="7" t="n">
        <f aca="false">SQRT(G241*40000/PI())</f>
        <v>11.1408460164327</v>
      </c>
      <c r="I241" s="11" t="n">
        <f aca="false">_xlfn.MAXIFS(dados!$N$2:$N$1028,dados!$I$2:$I$1028,E241)</f>
        <v>10</v>
      </c>
      <c r="J241" s="3"/>
      <c r="K241" s="3"/>
    </row>
    <row r="242" customFormat="false" ht="15" hidden="false" customHeight="false" outlineLevel="0" collapsed="false">
      <c r="A242" s="2" t="s">
        <v>32</v>
      </c>
      <c r="B242" s="2" t="s">
        <v>311</v>
      </c>
      <c r="C242" s="2" t="n">
        <v>242</v>
      </c>
      <c r="D242" s="2" t="s">
        <v>37</v>
      </c>
      <c r="E242" s="2" t="s">
        <v>331</v>
      </c>
      <c r="F242" s="6" t="n">
        <f aca="false">COUNTIF(dados!$I$2:$I$1028,E242)</f>
        <v>1</v>
      </c>
      <c r="G242" s="10" t="n">
        <f aca="false">SUMIFS(dados!$M$2:$M$1028,dados!$I$2:$I$1028,E242)</f>
        <v>0.020698100349101</v>
      </c>
      <c r="H242" s="7" t="n">
        <f aca="false">SQRT(G242*40000/PI())</f>
        <v>16.2338041953733</v>
      </c>
      <c r="I242" s="11" t="n">
        <f aca="false">_xlfn.MAXIFS(dados!$N$2:$N$1028,dados!$I$2:$I$1028,E242)</f>
        <v>14</v>
      </c>
      <c r="J242" s="3"/>
      <c r="K242" s="3"/>
    </row>
    <row r="243" customFormat="false" ht="15" hidden="false" customHeight="false" outlineLevel="0" collapsed="false">
      <c r="A243" s="2" t="s">
        <v>32</v>
      </c>
      <c r="B243" s="2" t="s">
        <v>311</v>
      </c>
      <c r="C243" s="2" t="n">
        <v>243</v>
      </c>
      <c r="D243" s="2" t="s">
        <v>37</v>
      </c>
      <c r="E243" s="2" t="s">
        <v>332</v>
      </c>
      <c r="F243" s="6" t="n">
        <f aca="false">COUNTIF(dados!$I$2:$I$1028,E243)</f>
        <v>1</v>
      </c>
      <c r="G243" s="10" t="n">
        <f aca="false">SUMIFS(dados!$M$2:$M$1028,dados!$I$2:$I$1028,E243)</f>
        <v>0.00919915571071155</v>
      </c>
      <c r="H243" s="7" t="n">
        <f aca="false">SQRT(G243*40000/PI())</f>
        <v>10.8225361302489</v>
      </c>
      <c r="I243" s="11" t="n">
        <f aca="false">_xlfn.MAXIFS(dados!$N$2:$N$1028,dados!$I$2:$I$1028,E243)</f>
        <v>11</v>
      </c>
      <c r="J243" s="3"/>
      <c r="K243" s="3"/>
    </row>
    <row r="244" customFormat="false" ht="15" hidden="false" customHeight="false" outlineLevel="0" collapsed="false">
      <c r="A244" s="2" t="s">
        <v>32</v>
      </c>
      <c r="B244" s="2" t="s">
        <v>311</v>
      </c>
      <c r="C244" s="2" t="n">
        <v>244</v>
      </c>
      <c r="D244" s="2" t="s">
        <v>33</v>
      </c>
      <c r="E244" s="2" t="s">
        <v>333</v>
      </c>
      <c r="F244" s="6" t="n">
        <f aca="false">COUNTIF(dados!$I$2:$I$1028,E244)</f>
        <v>2</v>
      </c>
      <c r="G244" s="10" t="n">
        <f aca="false">SUMIFS(dados!$M$2:$M$1028,dados!$I$2:$I$1028,E244)</f>
        <v>0.00736091611800016</v>
      </c>
      <c r="H244" s="7" t="n">
        <f aca="false">SQRT(G244*40000/PI())</f>
        <v>9.68101724351127</v>
      </c>
      <c r="I244" s="11" t="n">
        <f aca="false">_xlfn.MAXIFS(dados!$N$2:$N$1028,dados!$I$2:$I$1028,E244)</f>
        <v>12</v>
      </c>
      <c r="J244" s="3"/>
      <c r="K244" s="3"/>
    </row>
    <row r="245" customFormat="false" ht="15" hidden="false" customHeight="false" outlineLevel="0" collapsed="false">
      <c r="A245" s="2" t="s">
        <v>32</v>
      </c>
      <c r="B245" s="2" t="s">
        <v>311</v>
      </c>
      <c r="C245" s="2" t="n">
        <v>245</v>
      </c>
      <c r="D245" s="2" t="s">
        <v>48</v>
      </c>
      <c r="E245" s="2" t="s">
        <v>334</v>
      </c>
      <c r="F245" s="6" t="n">
        <f aca="false">COUNTIF(dados!$I$2:$I$1028,E245)</f>
        <v>1</v>
      </c>
      <c r="G245" s="10" t="n">
        <f aca="false">SUMIFS(dados!$M$2:$M$1028,dados!$I$2:$I$1028,E245)</f>
        <v>0.0998219803072368</v>
      </c>
      <c r="H245" s="7" t="n">
        <f aca="false">SQRT(G245*40000/PI())</f>
        <v>35.6507072525846</v>
      </c>
      <c r="I245" s="11" t="n">
        <f aca="false">_xlfn.MAXIFS(dados!$N$2:$N$1028,dados!$I$2:$I$1028,E245)</f>
        <v>14</v>
      </c>
      <c r="J245" s="3"/>
      <c r="K245" s="3"/>
    </row>
    <row r="246" customFormat="false" ht="15" hidden="false" customHeight="false" outlineLevel="0" collapsed="false">
      <c r="A246" s="2" t="s">
        <v>32</v>
      </c>
      <c r="B246" s="2" t="s">
        <v>311</v>
      </c>
      <c r="C246" s="2" t="n">
        <v>246</v>
      </c>
      <c r="D246" s="2" t="s">
        <v>37</v>
      </c>
      <c r="E246" s="2" t="s">
        <v>335</v>
      </c>
      <c r="F246" s="6" t="n">
        <f aca="false">COUNTIF(dados!$I$2:$I$1028,E246)</f>
        <v>1</v>
      </c>
      <c r="G246" s="10" t="n">
        <f aca="false">SUMIFS(dados!$M$2:$M$1028,dados!$I$2:$I$1028,E246)</f>
        <v>0.0232047907027983</v>
      </c>
      <c r="H246" s="7" t="n">
        <f aca="false">SQRT(G246*40000/PI())</f>
        <v>17.1887338539247</v>
      </c>
      <c r="I246" s="11" t="n">
        <f aca="false">_xlfn.MAXIFS(dados!$N$2:$N$1028,dados!$I$2:$I$1028,E246)</f>
        <v>10</v>
      </c>
      <c r="J246" s="3"/>
      <c r="K246" s="3"/>
    </row>
    <row r="247" customFormat="false" ht="15" hidden="false" customHeight="false" outlineLevel="0" collapsed="false">
      <c r="A247" s="2" t="s">
        <v>32</v>
      </c>
      <c r="B247" s="2" t="s">
        <v>311</v>
      </c>
      <c r="C247" s="2" t="n">
        <v>247</v>
      </c>
      <c r="D247" s="2" t="s">
        <v>37</v>
      </c>
      <c r="E247" s="2" t="s">
        <v>336</v>
      </c>
      <c r="F247" s="6" t="n">
        <f aca="false">COUNTIF(dados!$I$2:$I$1028,E247)</f>
        <v>1</v>
      </c>
      <c r="G247" s="10" t="n">
        <f aca="false">SUMIFS(dados!$M$2:$M$1028,dados!$I$2:$I$1028,E247)</f>
        <v>0.0103132403123548</v>
      </c>
      <c r="H247" s="7" t="n">
        <f aca="false">SQRT(G247*40000/PI())</f>
        <v>11.4591559026165</v>
      </c>
      <c r="I247" s="11" t="n">
        <f aca="false">_xlfn.MAXIFS(dados!$N$2:$N$1028,dados!$I$2:$I$1028,E247)</f>
        <v>13</v>
      </c>
      <c r="J247" s="3"/>
      <c r="K247" s="3"/>
    </row>
    <row r="248" customFormat="false" ht="15" hidden="false" customHeight="false" outlineLevel="0" collapsed="false">
      <c r="A248" s="2" t="s">
        <v>32</v>
      </c>
      <c r="B248" s="2" t="s">
        <v>311</v>
      </c>
      <c r="C248" s="2" t="n">
        <v>248</v>
      </c>
      <c r="D248" s="2" t="s">
        <v>33</v>
      </c>
      <c r="E248" s="2" t="s">
        <v>337</v>
      </c>
      <c r="F248" s="6" t="n">
        <f aca="false">COUNTIF(dados!$I$2:$I$1028,E248)</f>
        <v>1</v>
      </c>
      <c r="G248" s="10" t="n">
        <f aca="false">SUMIFS(dados!$M$2:$M$1028,dados!$I$2:$I$1028,E248)</f>
        <v>0.00385154962282387</v>
      </c>
      <c r="H248" s="7" t="n">
        <f aca="false">SQRT(G248*40000/PI())</f>
        <v>7.0028174960434</v>
      </c>
      <c r="I248" s="11" t="n">
        <f aca="false">_xlfn.MAXIFS(dados!$N$2:$N$1028,dados!$I$2:$I$1028,E248)</f>
        <v>11</v>
      </c>
      <c r="J248" s="3"/>
      <c r="K248" s="3"/>
    </row>
    <row r="249" customFormat="false" ht="15" hidden="false" customHeight="false" outlineLevel="0" collapsed="false">
      <c r="A249" s="2" t="s">
        <v>32</v>
      </c>
      <c r="B249" s="2" t="s">
        <v>311</v>
      </c>
      <c r="C249" s="2" t="n">
        <v>249</v>
      </c>
      <c r="D249" s="2" t="s">
        <v>37</v>
      </c>
      <c r="E249" s="2" t="s">
        <v>338</v>
      </c>
      <c r="F249" s="6" t="n">
        <f aca="false">COUNTIF(dados!$I$2:$I$1028,E249)</f>
        <v>1</v>
      </c>
      <c r="G249" s="10" t="n">
        <f aca="false">SUMIFS(dados!$M$2:$M$1028,dados!$I$2:$I$1028,E249)</f>
        <v>0.0103132403123548</v>
      </c>
      <c r="H249" s="7" t="n">
        <f aca="false">SQRT(G249*40000/PI())</f>
        <v>11.4591559026165</v>
      </c>
      <c r="I249" s="11" t="n">
        <f aca="false">_xlfn.MAXIFS(dados!$N$2:$N$1028,dados!$I$2:$I$1028,E249)</f>
        <v>12</v>
      </c>
      <c r="J249" s="3"/>
      <c r="K249" s="3"/>
    </row>
    <row r="250" customFormat="false" ht="15" hidden="false" customHeight="false" outlineLevel="0" collapsed="false">
      <c r="A250" s="2" t="s">
        <v>32</v>
      </c>
      <c r="B250" s="2" t="s">
        <v>311</v>
      </c>
      <c r="C250" s="2" t="n">
        <v>250</v>
      </c>
      <c r="D250" s="2" t="s">
        <v>33</v>
      </c>
      <c r="E250" s="2" t="s">
        <v>339</v>
      </c>
      <c r="F250" s="6" t="n">
        <f aca="false">COUNTIF(dados!$I$2:$I$1028,E250)</f>
        <v>1</v>
      </c>
      <c r="G250" s="10" t="n">
        <f aca="false">SUMIFS(dados!$M$2:$M$1028,dados!$I$2:$I$1028,E250)</f>
        <v>0.00287274672280871</v>
      </c>
      <c r="H250" s="7" t="n">
        <f aca="false">SQRT(G250*40000/PI())</f>
        <v>6.04788783749202</v>
      </c>
      <c r="I250" s="11" t="n">
        <f aca="false">_xlfn.MAXIFS(dados!$N$2:$N$1028,dados!$I$2:$I$1028,E250)</f>
        <v>5</v>
      </c>
      <c r="J250" s="3"/>
      <c r="K250" s="3"/>
    </row>
    <row r="251" customFormat="false" ht="15" hidden="false" customHeight="false" outlineLevel="0" collapsed="false">
      <c r="A251" s="2" t="s">
        <v>32</v>
      </c>
      <c r="B251" s="2" t="s">
        <v>311</v>
      </c>
      <c r="C251" s="2" t="n">
        <v>251</v>
      </c>
      <c r="D251" s="2" t="s">
        <v>33</v>
      </c>
      <c r="E251" s="2" t="s">
        <v>340</v>
      </c>
      <c r="F251" s="6" t="n">
        <f aca="false">COUNTIF(dados!$I$2:$I$1028,E251)</f>
        <v>1</v>
      </c>
      <c r="G251" s="10" t="n">
        <f aca="false">SUMIFS(dados!$M$2:$M$1028,dados!$I$2:$I$1028,E251)</f>
        <v>0.0103132403123548</v>
      </c>
      <c r="H251" s="7" t="n">
        <f aca="false">SQRT(G251*40000/PI())</f>
        <v>11.4591559026165</v>
      </c>
      <c r="I251" s="11" t="n">
        <f aca="false">_xlfn.MAXIFS(dados!$N$2:$N$1028,dados!$I$2:$I$1028,E251)</f>
        <v>13</v>
      </c>
      <c r="J251" s="3"/>
      <c r="K251" s="3"/>
    </row>
    <row r="252" customFormat="false" ht="15" hidden="false" customHeight="false" outlineLevel="0" collapsed="false">
      <c r="A252" s="2" t="s">
        <v>32</v>
      </c>
      <c r="B252" s="2" t="s">
        <v>311</v>
      </c>
      <c r="C252" s="2" t="n">
        <v>252</v>
      </c>
      <c r="D252" s="2" t="s">
        <v>37</v>
      </c>
      <c r="E252" s="2" t="s">
        <v>341</v>
      </c>
      <c r="F252" s="6" t="n">
        <f aca="false">COUNTIF(dados!$I$2:$I$1028,E252)</f>
        <v>1</v>
      </c>
      <c r="G252" s="10" t="n">
        <f aca="false">SUMIFS(dados!$M$2:$M$1028,dados!$I$2:$I$1028,E252)</f>
        <v>0.0121037334221386</v>
      </c>
      <c r="H252" s="7" t="n">
        <f aca="false">SQRT(G252*40000/PI())</f>
        <v>12.4140855611678</v>
      </c>
      <c r="I252" s="11" t="n">
        <f aca="false">_xlfn.MAXIFS(dados!$N$2:$N$1028,dados!$I$2:$I$1028,E252)</f>
        <v>14</v>
      </c>
      <c r="J252" s="3"/>
      <c r="K252" s="3"/>
    </row>
    <row r="253" customFormat="false" ht="15" hidden="false" customHeight="false" outlineLevel="0" collapsed="false">
      <c r="A253" s="2" t="s">
        <v>32</v>
      </c>
      <c r="B253" s="2" t="s">
        <v>311</v>
      </c>
      <c r="C253" s="2" t="n">
        <v>253</v>
      </c>
      <c r="D253" s="2" t="s">
        <v>37</v>
      </c>
      <c r="E253" s="2" t="s">
        <v>342</v>
      </c>
      <c r="F253" s="6" t="n">
        <f aca="false">COUNTIF(dados!$I$2:$I$1028,E253)</f>
        <v>1</v>
      </c>
      <c r="G253" s="10" t="n">
        <f aca="false">SUMIFS(dados!$M$2:$M$1028,dados!$I$2:$I$1028,E253)</f>
        <v>0.00764739501556557</v>
      </c>
      <c r="H253" s="7" t="n">
        <f aca="false">SQRT(G253*40000/PI())</f>
        <v>9.86760647169751</v>
      </c>
      <c r="I253" s="11" t="n">
        <f aca="false">_xlfn.MAXIFS(dados!$N$2:$N$1028,dados!$I$2:$I$1028,E253)</f>
        <v>7</v>
      </c>
      <c r="J253" s="3"/>
      <c r="K253" s="3"/>
    </row>
    <row r="254" customFormat="false" ht="15" hidden="false" customHeight="false" outlineLevel="0" collapsed="false">
      <c r="A254" s="2" t="s">
        <v>32</v>
      </c>
      <c r="B254" s="2" t="s">
        <v>311</v>
      </c>
      <c r="C254" s="2" t="n">
        <v>254</v>
      </c>
      <c r="D254" s="2" t="s">
        <v>37</v>
      </c>
      <c r="E254" s="2" t="s">
        <v>343</v>
      </c>
      <c r="F254" s="6" t="n">
        <f aca="false">COUNTIF(dados!$I$2:$I$1028,E254)</f>
        <v>1</v>
      </c>
      <c r="G254" s="10" t="n">
        <f aca="false">SUMIFS(dados!$M$2:$M$1028,dados!$I$2:$I$1028,E254)</f>
        <v>0.0066924653570142</v>
      </c>
      <c r="H254" s="7" t="n">
        <f aca="false">SQRT(G254*40000/PI())</f>
        <v>9.23098669932993</v>
      </c>
      <c r="I254" s="11" t="n">
        <f aca="false">_xlfn.MAXIFS(dados!$N$2:$N$1028,dados!$I$2:$I$1028,E254)</f>
        <v>5</v>
      </c>
      <c r="J254" s="3"/>
      <c r="K254" s="3"/>
    </row>
    <row r="255" customFormat="false" ht="15" hidden="false" customHeight="false" outlineLevel="0" collapsed="false">
      <c r="A255" s="2" t="s">
        <v>32</v>
      </c>
      <c r="B255" s="2" t="s">
        <v>311</v>
      </c>
      <c r="C255" s="2" t="n">
        <v>255</v>
      </c>
      <c r="D255" s="2" t="s">
        <v>37</v>
      </c>
      <c r="E255" s="2" t="s">
        <v>344</v>
      </c>
      <c r="F255" s="6" t="n">
        <f aca="false">COUNTIF(dados!$I$2:$I$1028,E255)</f>
        <v>2</v>
      </c>
      <c r="G255" s="10" t="n">
        <f aca="false">SUMIFS(dados!$M$2:$M$1028,dados!$I$2:$I$1028,E255)</f>
        <v>0.0102018318521905</v>
      </c>
      <c r="H255" s="7" t="n">
        <f aca="false">SQRT(G255*40000/PI())</f>
        <v>11.397094253777</v>
      </c>
      <c r="I255" s="11" t="n">
        <f aca="false">_xlfn.MAXIFS(dados!$N$2:$N$1028,dados!$I$2:$I$1028,E255)</f>
        <v>10</v>
      </c>
      <c r="J255" s="3"/>
      <c r="K255" s="3"/>
    </row>
    <row r="256" customFormat="false" ht="15" hidden="false" customHeight="false" outlineLevel="0" collapsed="false">
      <c r="A256" s="2" t="s">
        <v>32</v>
      </c>
      <c r="B256" s="2" t="s">
        <v>311</v>
      </c>
      <c r="C256" s="2" t="n">
        <v>256</v>
      </c>
      <c r="D256" s="2" t="s">
        <v>37</v>
      </c>
      <c r="E256" s="2" t="s">
        <v>345</v>
      </c>
      <c r="F256" s="6" t="n">
        <f aca="false">COUNTIF(dados!$I$2:$I$1028,E256)</f>
        <v>1</v>
      </c>
      <c r="G256" s="10" t="n">
        <f aca="false">SUMIFS(dados!$M$2:$M$1028,dados!$I$2:$I$1028,E256)</f>
        <v>0.00385154962282387</v>
      </c>
      <c r="H256" s="7" t="n">
        <f aca="false">SQRT(G256*40000/PI())</f>
        <v>7.0028174960434</v>
      </c>
      <c r="I256" s="11" t="n">
        <f aca="false">_xlfn.MAXIFS(dados!$N$2:$N$1028,dados!$I$2:$I$1028,E256)</f>
        <v>10</v>
      </c>
      <c r="J256" s="3"/>
      <c r="K256" s="3"/>
    </row>
    <row r="257" customFormat="false" ht="15" hidden="false" customHeight="false" outlineLevel="0" collapsed="false">
      <c r="A257" s="2" t="s">
        <v>32</v>
      </c>
      <c r="B257" s="2" t="s">
        <v>311</v>
      </c>
      <c r="C257" s="2" t="n">
        <v>257</v>
      </c>
      <c r="D257" s="2" t="s">
        <v>37</v>
      </c>
      <c r="E257" s="2" t="s">
        <v>346</v>
      </c>
      <c r="F257" s="6" t="n">
        <f aca="false">COUNTIF(dados!$I$2:$I$1028,E257)</f>
        <v>1</v>
      </c>
      <c r="G257" s="10" t="n">
        <f aca="false">SUMIFS(dados!$M$2:$M$1028,dados!$I$2:$I$1028,E257)</f>
        <v>0.0133769729668738</v>
      </c>
      <c r="H257" s="7" t="n">
        <f aca="false">SQRT(G257*40000/PI())</f>
        <v>13.0507053335354</v>
      </c>
      <c r="I257" s="11" t="n">
        <f aca="false">_xlfn.MAXIFS(dados!$N$2:$N$1028,dados!$I$2:$I$1028,E257)</f>
        <v>9</v>
      </c>
      <c r="J257" s="3"/>
      <c r="K257" s="3"/>
    </row>
    <row r="258" customFormat="false" ht="15" hidden="false" customHeight="false" outlineLevel="0" collapsed="false">
      <c r="A258" s="2" t="s">
        <v>32</v>
      </c>
      <c r="B258" s="2" t="s">
        <v>311</v>
      </c>
      <c r="C258" s="2" t="n">
        <v>258</v>
      </c>
      <c r="D258" s="2" t="s">
        <v>37</v>
      </c>
      <c r="E258" s="2" t="s">
        <v>347</v>
      </c>
      <c r="F258" s="6" t="n">
        <f aca="false">COUNTIF(dados!$I$2:$I$1028,E258)</f>
        <v>2</v>
      </c>
      <c r="G258" s="10" t="n">
        <f aca="false">SUMIFS(dados!$M$2:$M$1028,dados!$I$2:$I$1028,E258)</f>
        <v>0.022544297688967</v>
      </c>
      <c r="H258" s="7" t="n">
        <f aca="false">SQRT(G258*40000/PI())</f>
        <v>16.9423408435417</v>
      </c>
      <c r="I258" s="11" t="n">
        <f aca="false">_xlfn.MAXIFS(dados!$N$2:$N$1028,dados!$I$2:$I$1028,E258)</f>
        <v>8</v>
      </c>
      <c r="J258" s="3"/>
      <c r="K258" s="3"/>
    </row>
    <row r="259" customFormat="false" ht="15" hidden="false" customHeight="false" outlineLevel="0" collapsed="false">
      <c r="A259" s="2" t="s">
        <v>32</v>
      </c>
      <c r="B259" s="2" t="s">
        <v>311</v>
      </c>
      <c r="C259" s="2" t="n">
        <v>259</v>
      </c>
      <c r="D259" s="2" t="s">
        <v>33</v>
      </c>
      <c r="E259" s="2" t="s">
        <v>348</v>
      </c>
      <c r="F259" s="6" t="n">
        <f aca="false">COUNTIF(dados!$I$2:$I$1028,E259)</f>
        <v>1</v>
      </c>
      <c r="G259" s="10" t="n">
        <f aca="false">SUMIFS(dados!$M$2:$M$1028,dados!$I$2:$I$1028,E259)</f>
        <v>0.00420964824478063</v>
      </c>
      <c r="H259" s="7" t="n">
        <f aca="false">SQRT(G259*40000/PI())</f>
        <v>7.32112738222719</v>
      </c>
      <c r="I259" s="11" t="n">
        <f aca="false">_xlfn.MAXIFS(dados!$N$2:$N$1028,dados!$I$2:$I$1028,E259)</f>
        <v>8</v>
      </c>
      <c r="J259" s="3"/>
      <c r="K259" s="3"/>
    </row>
    <row r="260" customFormat="false" ht="15" hidden="false" customHeight="false" outlineLevel="0" collapsed="false">
      <c r="A260" s="2" t="s">
        <v>32</v>
      </c>
      <c r="B260" s="2" t="s">
        <v>311</v>
      </c>
      <c r="C260" s="2" t="n">
        <v>260</v>
      </c>
      <c r="D260" s="2" t="s">
        <v>37</v>
      </c>
      <c r="E260" s="2" t="s">
        <v>349</v>
      </c>
      <c r="F260" s="6" t="n">
        <f aca="false">COUNTIF(dados!$I$2:$I$1028,E260)</f>
        <v>1</v>
      </c>
      <c r="G260" s="10" t="n">
        <f aca="false">SUMIFS(dados!$M$2:$M$1028,dados!$I$2:$I$1028,E260)</f>
        <v>0.0066924653570142</v>
      </c>
      <c r="H260" s="7" t="n">
        <f aca="false">SQRT(G260*40000/PI())</f>
        <v>9.23098669932993</v>
      </c>
      <c r="I260" s="11" t="n">
        <f aca="false">_xlfn.MAXIFS(dados!$N$2:$N$1028,dados!$I$2:$I$1028,E260)</f>
        <v>6</v>
      </c>
      <c r="J260" s="3"/>
      <c r="K260" s="3"/>
    </row>
    <row r="261" customFormat="false" ht="15" hidden="false" customHeight="false" outlineLevel="0" collapsed="false">
      <c r="A261" s="2" t="s">
        <v>32</v>
      </c>
      <c r="B261" s="2" t="s">
        <v>311</v>
      </c>
      <c r="C261" s="2" t="n">
        <v>261</v>
      </c>
      <c r="D261" s="2" t="s">
        <v>37</v>
      </c>
      <c r="E261" s="2" t="s">
        <v>350</v>
      </c>
      <c r="F261" s="6" t="n">
        <f aca="false">COUNTIF(dados!$I$2:$I$1028,E261)</f>
        <v>2</v>
      </c>
      <c r="G261" s="10" t="n">
        <f aca="false">SUMIFS(dados!$M$2:$M$1028,dados!$I$2:$I$1028,E261)</f>
        <v>0.00678795832286934</v>
      </c>
      <c r="H261" s="7" t="n">
        <f aca="false">SQRT(G261*40000/PI())</f>
        <v>9.2966106537229</v>
      </c>
      <c r="I261" s="11" t="n">
        <f aca="false">_xlfn.MAXIFS(dados!$N$2:$N$1028,dados!$I$2:$I$1028,E261)</f>
        <v>8</v>
      </c>
      <c r="J261" s="3"/>
      <c r="K261" s="3"/>
    </row>
    <row r="262" customFormat="false" ht="15" hidden="false" customHeight="false" outlineLevel="0" collapsed="false">
      <c r="A262" s="2" t="s">
        <v>32</v>
      </c>
      <c r="B262" s="2" t="s">
        <v>311</v>
      </c>
      <c r="C262" s="2" t="n">
        <v>262</v>
      </c>
      <c r="D262" s="2" t="s">
        <v>37</v>
      </c>
      <c r="E262" s="2" t="s">
        <v>351</v>
      </c>
      <c r="F262" s="6" t="n">
        <f aca="false">COUNTIF(dados!$I$2:$I$1028,E262)</f>
        <v>1</v>
      </c>
      <c r="G262" s="10" t="n">
        <f aca="false">SUMIFS(dados!$M$2:$M$1028,dados!$I$2:$I$1028,E262)</f>
        <v>0.00385154962282387</v>
      </c>
      <c r="H262" s="7" t="n">
        <f aca="false">SQRT(G262*40000/PI())</f>
        <v>7.0028174960434</v>
      </c>
      <c r="I262" s="11" t="n">
        <f aca="false">_xlfn.MAXIFS(dados!$N$2:$N$1028,dados!$I$2:$I$1028,E262)</f>
        <v>8</v>
      </c>
      <c r="J262" s="3"/>
      <c r="K262" s="3"/>
    </row>
    <row r="263" customFormat="false" ht="15" hidden="false" customHeight="false" outlineLevel="0" collapsed="false">
      <c r="A263" s="2" t="s">
        <v>32</v>
      </c>
      <c r="B263" s="2" t="s">
        <v>311</v>
      </c>
      <c r="C263" s="2" t="n">
        <v>263</v>
      </c>
      <c r="D263" s="2" t="s">
        <v>37</v>
      </c>
      <c r="E263" s="2" t="s">
        <v>352</v>
      </c>
      <c r="F263" s="6" t="n">
        <f aca="false">COUNTIF(dados!$I$2:$I$1028,E263)</f>
        <v>1</v>
      </c>
      <c r="G263" s="10" t="n">
        <f aca="false">SUMIFS(dados!$M$2:$M$1028,dados!$I$2:$I$1028,E263)</f>
        <v>0.00580119767569958</v>
      </c>
      <c r="H263" s="7" t="n">
        <f aca="false">SQRT(G263*40000/PI())</f>
        <v>8.59436692696235</v>
      </c>
      <c r="I263" s="11" t="n">
        <f aca="false">_xlfn.MAXIFS(dados!$N$2:$N$1028,dados!$I$2:$I$1028,E263)</f>
        <v>7</v>
      </c>
      <c r="J263" s="3"/>
      <c r="K263" s="3"/>
    </row>
    <row r="264" customFormat="false" ht="15" hidden="false" customHeight="false" outlineLevel="0" collapsed="false">
      <c r="A264" s="2" t="s">
        <v>32</v>
      </c>
      <c r="B264" s="2" t="s">
        <v>311</v>
      </c>
      <c r="C264" s="2" t="n">
        <v>264</v>
      </c>
      <c r="D264" s="2" t="s">
        <v>33</v>
      </c>
      <c r="E264" s="2" t="s">
        <v>353</v>
      </c>
      <c r="F264" s="6" t="n">
        <f aca="false">COUNTIF(dados!$I$2:$I$1028,E264)</f>
        <v>1</v>
      </c>
      <c r="G264" s="10" t="n">
        <f aca="false">SUMIFS(dados!$M$2:$M$1028,dados!$I$2:$I$1028,E264)</f>
        <v>0.0066924653570142</v>
      </c>
      <c r="H264" s="7" t="n">
        <f aca="false">SQRT(G264*40000/PI())</f>
        <v>9.23098669932993</v>
      </c>
      <c r="I264" s="11" t="n">
        <f aca="false">_xlfn.MAXIFS(dados!$N$2:$N$1028,dados!$I$2:$I$1028,E264)</f>
        <v>10</v>
      </c>
      <c r="J264" s="3"/>
      <c r="K264" s="3"/>
    </row>
    <row r="265" customFormat="false" ht="15" hidden="false" customHeight="false" outlineLevel="0" collapsed="false">
      <c r="A265" s="2" t="s">
        <v>32</v>
      </c>
      <c r="B265" s="2" t="s">
        <v>311</v>
      </c>
      <c r="C265" s="2" t="n">
        <v>265</v>
      </c>
      <c r="D265" s="2" t="s">
        <v>33</v>
      </c>
      <c r="E265" s="2" t="s">
        <v>354</v>
      </c>
      <c r="F265" s="6" t="n">
        <f aca="false">COUNTIF(dados!$I$2:$I$1028,E265)</f>
        <v>1</v>
      </c>
      <c r="G265" s="10" t="n">
        <f aca="false">SUMIFS(dados!$M$2:$M$1028,dados!$I$2:$I$1028,E265)</f>
        <v>0.00420964824478063</v>
      </c>
      <c r="H265" s="7" t="n">
        <f aca="false">SQRT(G265*40000/PI())</f>
        <v>7.32112738222719</v>
      </c>
      <c r="I265" s="11" t="n">
        <f aca="false">_xlfn.MAXIFS(dados!$N$2:$N$1028,dados!$I$2:$I$1028,E265)</f>
        <v>13</v>
      </c>
      <c r="J265" s="3"/>
      <c r="K265" s="3"/>
    </row>
    <row r="266" customFormat="false" ht="15" hidden="false" customHeight="false" outlineLevel="0" collapsed="false">
      <c r="A266" s="2" t="s">
        <v>32</v>
      </c>
      <c r="B266" s="2" t="s">
        <v>311</v>
      </c>
      <c r="C266" s="2" t="n">
        <v>266</v>
      </c>
      <c r="D266" s="2" t="s">
        <v>37</v>
      </c>
      <c r="E266" s="2" t="s">
        <v>355</v>
      </c>
      <c r="F266" s="6" t="n">
        <f aca="false">COUNTIF(dados!$I$2:$I$1028,E266)</f>
        <v>1</v>
      </c>
      <c r="G266" s="10" t="n">
        <f aca="false">SUMIFS(dados!$M$2:$M$1028,dados!$I$2:$I$1028,E266)</f>
        <v>0.020698100349101</v>
      </c>
      <c r="H266" s="7" t="n">
        <f aca="false">SQRT(G266*40000/PI())</f>
        <v>16.2338041953733</v>
      </c>
      <c r="I266" s="11" t="n">
        <f aca="false">_xlfn.MAXIFS(dados!$N$2:$N$1028,dados!$I$2:$I$1028,E266)</f>
        <v>15</v>
      </c>
      <c r="J266" s="3"/>
      <c r="K266" s="3"/>
    </row>
    <row r="267" customFormat="false" ht="15" hidden="false" customHeight="false" outlineLevel="0" collapsed="false">
      <c r="A267" s="2" t="s">
        <v>32</v>
      </c>
      <c r="B267" s="2" t="s">
        <v>311</v>
      </c>
      <c r="C267" s="2" t="n">
        <v>267</v>
      </c>
      <c r="D267" s="2" t="s">
        <v>37</v>
      </c>
      <c r="E267" s="2" t="s">
        <v>356</v>
      </c>
      <c r="F267" s="6" t="n">
        <f aca="false">COUNTIF(dados!$I$2:$I$1028,E267)</f>
        <v>1</v>
      </c>
      <c r="G267" s="10" t="n">
        <f aca="false">SUMIFS(dados!$M$2:$M$1028,dados!$I$2:$I$1028,E267)</f>
        <v>0.020698100349101</v>
      </c>
      <c r="H267" s="7" t="n">
        <f aca="false">SQRT(G267*40000/PI())</f>
        <v>16.2338041953733</v>
      </c>
      <c r="I267" s="11" t="n">
        <f aca="false">_xlfn.MAXIFS(dados!$N$2:$N$1028,dados!$I$2:$I$1028,E267)</f>
        <v>15</v>
      </c>
      <c r="J267" s="3"/>
      <c r="K267" s="3"/>
    </row>
    <row r="268" customFormat="false" ht="15" hidden="false" customHeight="false" outlineLevel="0" collapsed="false">
      <c r="A268" s="2" t="s">
        <v>32</v>
      </c>
      <c r="B268" s="2" t="s">
        <v>311</v>
      </c>
      <c r="C268" s="2" t="n">
        <v>268</v>
      </c>
      <c r="D268" s="2" t="s">
        <v>33</v>
      </c>
      <c r="E268" s="2" t="s">
        <v>357</v>
      </c>
      <c r="F268" s="6" t="n">
        <f aca="false">COUNTIF(dados!$I$2:$I$1028,E268)</f>
        <v>1</v>
      </c>
      <c r="G268" s="10" t="n">
        <f aca="false">SUMIFS(dados!$M$2:$M$1028,dados!$I$2:$I$1028,E268)</f>
        <v>0.0183346494441863</v>
      </c>
      <c r="H268" s="7" t="n">
        <f aca="false">SQRT(G268*40000/PI())</f>
        <v>15.278874536822</v>
      </c>
      <c r="I268" s="11" t="n">
        <f aca="false">_xlfn.MAXIFS(dados!$N$2:$N$1028,dados!$I$2:$I$1028,E268)</f>
        <v>14</v>
      </c>
      <c r="J268" s="3"/>
      <c r="K268" s="3"/>
    </row>
    <row r="269" customFormat="false" ht="15" hidden="false" customHeight="false" outlineLevel="0" collapsed="false">
      <c r="A269" s="2" t="s">
        <v>32</v>
      </c>
      <c r="B269" s="2" t="s">
        <v>311</v>
      </c>
      <c r="C269" s="2" t="n">
        <v>269</v>
      </c>
      <c r="D269" s="2" t="s">
        <v>37</v>
      </c>
      <c r="E269" s="2" t="s">
        <v>358</v>
      </c>
      <c r="F269" s="6" t="n">
        <f aca="false">COUNTIF(dados!$I$2:$I$1028,E269)</f>
        <v>1</v>
      </c>
      <c r="G269" s="10" t="n">
        <f aca="false">SUMIFS(dados!$M$2:$M$1028,dados!$I$2:$I$1028,E269)</f>
        <v>0.0223533117572567</v>
      </c>
      <c r="H269" s="7" t="n">
        <f aca="false">SQRT(G269*40000/PI())</f>
        <v>16.8704239677409</v>
      </c>
      <c r="I269" s="11" t="n">
        <f aca="false">_xlfn.MAXIFS(dados!$N$2:$N$1028,dados!$I$2:$I$1028,E269)</f>
        <v>12</v>
      </c>
      <c r="J269" s="3"/>
      <c r="K269" s="3"/>
    </row>
    <row r="270" customFormat="false" ht="15" hidden="false" customHeight="false" outlineLevel="0" collapsed="false">
      <c r="A270" s="2" t="s">
        <v>32</v>
      </c>
      <c r="B270" s="2" t="s">
        <v>311</v>
      </c>
      <c r="C270" s="2" t="n">
        <v>270</v>
      </c>
      <c r="D270" s="2" t="s">
        <v>37</v>
      </c>
      <c r="E270" s="2" t="s">
        <v>359</v>
      </c>
      <c r="F270" s="6" t="n">
        <f aca="false">COUNTIF(dados!$I$2:$I$1028,E270)</f>
        <v>1</v>
      </c>
      <c r="G270" s="10" t="n">
        <f aca="false">SUMIFS(dados!$M$2:$M$1028,dados!$I$2:$I$1028,E270)</f>
        <v>0.0133769729668738</v>
      </c>
      <c r="H270" s="7" t="n">
        <f aca="false">SQRT(G270*40000/PI())</f>
        <v>13.0507053335354</v>
      </c>
      <c r="I270" s="11" t="n">
        <f aca="false">_xlfn.MAXIFS(dados!$N$2:$N$1028,dados!$I$2:$I$1028,E270)</f>
        <v>14</v>
      </c>
      <c r="J270" s="3"/>
      <c r="K270" s="3"/>
    </row>
    <row r="271" customFormat="false" ht="15" hidden="false" customHeight="false" outlineLevel="0" collapsed="false">
      <c r="A271" s="2" t="s">
        <v>32</v>
      </c>
      <c r="B271" s="2" t="s">
        <v>311</v>
      </c>
      <c r="C271" s="2" t="n">
        <v>271</v>
      </c>
      <c r="D271" s="2" t="s">
        <v>37</v>
      </c>
      <c r="E271" s="2" t="s">
        <v>360</v>
      </c>
      <c r="F271" s="6" t="n">
        <f aca="false">COUNTIF(dados!$I$2:$I$1028,E271)</f>
        <v>1</v>
      </c>
      <c r="G271" s="10" t="n">
        <f aca="false">SUMIFS(dados!$M$2:$M$1028,dados!$I$2:$I$1028,E271)</f>
        <v>0.0183346494441863</v>
      </c>
      <c r="H271" s="7" t="n">
        <f aca="false">SQRT(G271*40000/PI())</f>
        <v>15.278874536822</v>
      </c>
      <c r="I271" s="11" t="n">
        <f aca="false">_xlfn.MAXIFS(dados!$N$2:$N$1028,dados!$I$2:$I$1028,E271)</f>
        <v>10</v>
      </c>
      <c r="J271" s="3"/>
      <c r="K271" s="3"/>
    </row>
    <row r="272" customFormat="false" ht="15" hidden="false" customHeight="false" outlineLevel="0" collapsed="false">
      <c r="A272" s="2" t="s">
        <v>32</v>
      </c>
      <c r="B272" s="2" t="s">
        <v>311</v>
      </c>
      <c r="C272" s="2" t="n">
        <v>272</v>
      </c>
      <c r="D272" s="2" t="s">
        <v>37</v>
      </c>
      <c r="E272" s="2" t="s">
        <v>361</v>
      </c>
      <c r="F272" s="6" t="n">
        <f aca="false">COUNTIF(dados!$I$2:$I$1028,E272)</f>
        <v>1</v>
      </c>
      <c r="G272" s="10" t="n">
        <f aca="false">SUMIFS(dados!$M$2:$M$1028,dados!$I$2:$I$1028,E272)</f>
        <v>0.0108941558546402</v>
      </c>
      <c r="H272" s="7" t="n">
        <f aca="false">SQRT(G272*40000/PI())</f>
        <v>11.7774657888003</v>
      </c>
      <c r="I272" s="11" t="n">
        <f aca="false">_xlfn.MAXIFS(dados!$N$2:$N$1028,dados!$I$2:$I$1028,E272)</f>
        <v>14</v>
      </c>
      <c r="J272" s="3"/>
      <c r="K272" s="3"/>
    </row>
    <row r="273" customFormat="false" ht="15" hidden="false" customHeight="false" outlineLevel="0" collapsed="false">
      <c r="A273" s="2" t="s">
        <v>32</v>
      </c>
      <c r="B273" s="2" t="s">
        <v>311</v>
      </c>
      <c r="C273" s="2" t="n">
        <v>273</v>
      </c>
      <c r="D273" s="2" t="s">
        <v>33</v>
      </c>
      <c r="E273" s="2" t="s">
        <v>362</v>
      </c>
      <c r="F273" s="6" t="n">
        <f aca="false">COUNTIF(dados!$I$2:$I$1028,E273)</f>
        <v>1</v>
      </c>
      <c r="G273" s="10" t="n">
        <f aca="false">SUMIFS(dados!$M$2:$M$1028,dados!$I$2:$I$1028,E273)</f>
        <v>0.00497359197162173</v>
      </c>
      <c r="H273" s="7" t="n">
        <f aca="false">SQRT(G273*40000/PI())</f>
        <v>7.95774715459477</v>
      </c>
      <c r="I273" s="11" t="n">
        <f aca="false">_xlfn.MAXIFS(dados!$N$2:$N$1028,dados!$I$2:$I$1028,E273)</f>
        <v>9</v>
      </c>
      <c r="J273" s="3"/>
      <c r="K273" s="3"/>
    </row>
    <row r="274" customFormat="false" ht="15" hidden="false" customHeight="false" outlineLevel="0" collapsed="false">
      <c r="A274" s="2" t="s">
        <v>32</v>
      </c>
      <c r="B274" s="2" t="s">
        <v>311</v>
      </c>
      <c r="C274" s="2" t="n">
        <v>274</v>
      </c>
      <c r="D274" s="2" t="s">
        <v>37</v>
      </c>
      <c r="E274" s="2" t="s">
        <v>363</v>
      </c>
      <c r="F274" s="6" t="n">
        <f aca="false">COUNTIF(dados!$I$2:$I$1028,E274)</f>
        <v>1</v>
      </c>
      <c r="G274" s="10" t="n">
        <f aca="false">SUMIFS(dados!$M$2:$M$1028,dados!$I$2:$I$1028,E274)</f>
        <v>0.0086659866513537</v>
      </c>
      <c r="H274" s="7" t="n">
        <f aca="false">SQRT(G274*40000/PI())</f>
        <v>10.5042262440651</v>
      </c>
      <c r="I274" s="11" t="n">
        <f aca="false">_xlfn.MAXIFS(dados!$N$2:$N$1028,dados!$I$2:$I$1028,E274)</f>
        <v>14</v>
      </c>
      <c r="J274" s="3"/>
      <c r="K274" s="3"/>
    </row>
    <row r="275" customFormat="false" ht="15" hidden="false" customHeight="false" outlineLevel="0" collapsed="false">
      <c r="A275" s="2" t="s">
        <v>32</v>
      </c>
      <c r="B275" s="2" t="s">
        <v>311</v>
      </c>
      <c r="C275" s="2" t="n">
        <v>275</v>
      </c>
      <c r="D275" s="2" t="s">
        <v>33</v>
      </c>
      <c r="E275" s="2" t="s">
        <v>364</v>
      </c>
      <c r="F275" s="6" t="n">
        <f aca="false">COUNTIF(dados!$I$2:$I$1028,E275)</f>
        <v>1</v>
      </c>
      <c r="G275" s="10" t="n">
        <f aca="false">SUMIFS(dados!$M$2:$M$1028,dados!$I$2:$I$1028,E275)</f>
        <v>0.00716197243913529</v>
      </c>
      <c r="H275" s="7" t="n">
        <f aca="false">SQRT(G275*40000/PI())</f>
        <v>9.54929658551372</v>
      </c>
      <c r="I275" s="11" t="n">
        <f aca="false">_xlfn.MAXIFS(dados!$N$2:$N$1028,dados!$I$2:$I$1028,E275)</f>
        <v>8</v>
      </c>
      <c r="J275" s="3"/>
      <c r="K275" s="3"/>
    </row>
    <row r="276" customFormat="false" ht="15" hidden="false" customHeight="false" outlineLevel="0" collapsed="false">
      <c r="A276" s="2" t="s">
        <v>32</v>
      </c>
      <c r="B276" s="2" t="s">
        <v>311</v>
      </c>
      <c r="C276" s="2" t="n">
        <v>276</v>
      </c>
      <c r="D276" s="2" t="s">
        <v>37</v>
      </c>
      <c r="E276" s="2" t="s">
        <v>365</v>
      </c>
      <c r="F276" s="6" t="n">
        <f aca="false">COUNTIF(dados!$I$2:$I$1028,E276)</f>
        <v>1</v>
      </c>
      <c r="G276" s="10" t="n">
        <f aca="false">SUMIFS(dados!$M$2:$M$1028,dados!$I$2:$I$1028,E276)</f>
        <v>0.0025783100780887</v>
      </c>
      <c r="H276" s="7" t="n">
        <f aca="false">SQRT(G276*40000/PI())</f>
        <v>5.72957795130823</v>
      </c>
      <c r="I276" s="11" t="n">
        <f aca="false">_xlfn.MAXIFS(dados!$N$2:$N$1028,dados!$I$2:$I$1028,E276)</f>
        <v>4</v>
      </c>
      <c r="J276" s="3"/>
      <c r="K276" s="3"/>
    </row>
    <row r="277" customFormat="false" ht="15" hidden="false" customHeight="false" outlineLevel="0" collapsed="false">
      <c r="A277" s="2" t="s">
        <v>32</v>
      </c>
      <c r="B277" s="2" t="s">
        <v>311</v>
      </c>
      <c r="C277" s="2" t="n">
        <v>277</v>
      </c>
      <c r="D277" s="2" t="s">
        <v>37</v>
      </c>
      <c r="E277" s="2" t="s">
        <v>366</v>
      </c>
      <c r="F277" s="6" t="n">
        <f aca="false">COUNTIF(dados!$I$2:$I$1028,E277)</f>
        <v>1</v>
      </c>
      <c r="G277" s="10" t="n">
        <f aca="false">SUMIFS(dados!$M$2:$M$1028,dados!$I$2:$I$1028,E277)</f>
        <v>0.0168385929791225</v>
      </c>
      <c r="H277" s="7" t="n">
        <f aca="false">SQRT(G277*40000/PI())</f>
        <v>14.6422547644544</v>
      </c>
      <c r="I277" s="11" t="n">
        <f aca="false">_xlfn.MAXIFS(dados!$N$2:$N$1028,dados!$I$2:$I$1028,E277)</f>
        <v>13</v>
      </c>
      <c r="J277" s="3"/>
      <c r="K277" s="3"/>
    </row>
    <row r="278" customFormat="false" ht="15" hidden="false" customHeight="false" outlineLevel="0" collapsed="false">
      <c r="A278" s="2" t="s">
        <v>32</v>
      </c>
      <c r="B278" s="2" t="s">
        <v>311</v>
      </c>
      <c r="C278" s="2" t="n">
        <v>278</v>
      </c>
      <c r="D278" s="2" t="s">
        <v>37</v>
      </c>
      <c r="E278" s="2" t="s">
        <v>367</v>
      </c>
      <c r="F278" s="6" t="n">
        <f aca="false">COUNTIF(dados!$I$2:$I$1028,E278)</f>
        <v>1</v>
      </c>
      <c r="G278" s="10" t="n">
        <f aca="false">SUMIFS(dados!$M$2:$M$1028,dados!$I$2:$I$1028,E278)</f>
        <v>0.0121037334221386</v>
      </c>
      <c r="H278" s="7" t="n">
        <f aca="false">SQRT(G278*40000/PI())</f>
        <v>12.4140855611678</v>
      </c>
      <c r="I278" s="11" t="n">
        <f aca="false">_xlfn.MAXIFS(dados!$N$2:$N$1028,dados!$I$2:$I$1028,E278)</f>
        <v>15</v>
      </c>
      <c r="J278" s="3"/>
      <c r="K278" s="3"/>
    </row>
    <row r="279" customFormat="false" ht="15" hidden="false" customHeight="false" outlineLevel="0" collapsed="false">
      <c r="A279" s="2" t="s">
        <v>32</v>
      </c>
      <c r="B279" s="2" t="s">
        <v>311</v>
      </c>
      <c r="C279" s="2" t="n">
        <v>279</v>
      </c>
      <c r="D279" s="2" t="s">
        <v>37</v>
      </c>
      <c r="E279" s="2" t="s">
        <v>368</v>
      </c>
      <c r="F279" s="6" t="n">
        <f aca="false">COUNTIF(dados!$I$2:$I$1028,E279)</f>
        <v>1</v>
      </c>
      <c r="G279" s="10" t="n">
        <f aca="false">SUMIFS(dados!$M$2:$M$1028,dados!$I$2:$I$1028,E279)</f>
        <v>0.00716197243913529</v>
      </c>
      <c r="H279" s="7" t="n">
        <f aca="false">SQRT(G279*40000/PI())</f>
        <v>9.54929658551372</v>
      </c>
      <c r="I279" s="11" t="n">
        <f aca="false">_xlfn.MAXIFS(dados!$N$2:$N$1028,dados!$I$2:$I$1028,E279)</f>
        <v>14</v>
      </c>
      <c r="J279" s="3"/>
      <c r="K279" s="3"/>
    </row>
    <row r="280" customFormat="false" ht="15" hidden="false" customHeight="false" outlineLevel="0" collapsed="false">
      <c r="A280" s="2" t="s">
        <v>32</v>
      </c>
      <c r="B280" s="2" t="s">
        <v>311</v>
      </c>
      <c r="C280" s="2" t="n">
        <v>280</v>
      </c>
      <c r="D280" s="2" t="s">
        <v>37</v>
      </c>
      <c r="E280" s="2" t="s">
        <v>369</v>
      </c>
      <c r="F280" s="6" t="n">
        <f aca="false">COUNTIF(dados!$I$2:$I$1028,E280)</f>
        <v>1</v>
      </c>
      <c r="G280" s="10" t="n">
        <f aca="false">SUMIFS(dados!$M$2:$M$1028,dados!$I$2:$I$1028,E280)</f>
        <v>0.020698100349101</v>
      </c>
      <c r="H280" s="7" t="n">
        <f aca="false">SQRT(G280*40000/PI())</f>
        <v>16.2338041953733</v>
      </c>
      <c r="I280" s="11" t="n">
        <f aca="false">_xlfn.MAXIFS(dados!$N$2:$N$1028,dados!$I$2:$I$1028,E280)</f>
        <v>12</v>
      </c>
      <c r="J280" s="3"/>
      <c r="K280" s="3"/>
    </row>
    <row r="281" customFormat="false" ht="15" hidden="false" customHeight="false" outlineLevel="0" collapsed="false">
      <c r="A281" s="2" t="s">
        <v>32</v>
      </c>
      <c r="B281" s="2" t="s">
        <v>311</v>
      </c>
      <c r="C281" s="2" t="n">
        <v>281</v>
      </c>
      <c r="D281" s="2" t="s">
        <v>37</v>
      </c>
      <c r="E281" s="2" t="s">
        <v>370</v>
      </c>
      <c r="F281" s="6" t="n">
        <f aca="false">COUNTIF(dados!$I$2:$I$1028,E281)</f>
        <v>1</v>
      </c>
      <c r="G281" s="10" t="n">
        <f aca="false">SUMIFS(dados!$M$2:$M$1028,dados!$I$2:$I$1028,E281)</f>
        <v>0.0140374659807052</v>
      </c>
      <c r="H281" s="7" t="n">
        <f aca="false">SQRT(G281*40000/PI())</f>
        <v>13.3690152197192</v>
      </c>
      <c r="I281" s="11" t="n">
        <f aca="false">_xlfn.MAXIFS(dados!$N$2:$N$1028,dados!$I$2:$I$1028,E281)</f>
        <v>9</v>
      </c>
      <c r="J281" s="3"/>
      <c r="K281" s="3"/>
    </row>
    <row r="282" customFormat="false" ht="15" hidden="false" customHeight="false" outlineLevel="0" collapsed="false">
      <c r="A282" s="2" t="s">
        <v>32</v>
      </c>
      <c r="B282" s="2" t="s">
        <v>311</v>
      </c>
      <c r="C282" s="2" t="n">
        <v>282</v>
      </c>
      <c r="D282" s="2" t="s">
        <v>37</v>
      </c>
      <c r="E282" s="2" t="s">
        <v>371</v>
      </c>
      <c r="F282" s="6" t="n">
        <f aca="false">COUNTIF(dados!$I$2:$I$1028,E282)</f>
        <v>1</v>
      </c>
      <c r="G282" s="10" t="n">
        <f aca="false">SUMIFS(dados!$M$2:$M$1028,dados!$I$2:$I$1028,E282)</f>
        <v>0.0121037334221386</v>
      </c>
      <c r="H282" s="7" t="n">
        <f aca="false">SQRT(G282*40000/PI())</f>
        <v>12.4140855611678</v>
      </c>
      <c r="I282" s="11" t="n">
        <f aca="false">_xlfn.MAXIFS(dados!$N$2:$N$1028,dados!$I$2:$I$1028,E282)</f>
        <v>12</v>
      </c>
      <c r="J282" s="3"/>
      <c r="K282" s="3"/>
    </row>
    <row r="283" customFormat="false" ht="15" hidden="false" customHeight="false" outlineLevel="0" collapsed="false">
      <c r="A283" s="2" t="s">
        <v>32</v>
      </c>
      <c r="B283" s="2" t="s">
        <v>311</v>
      </c>
      <c r="C283" s="2" t="n">
        <v>283</v>
      </c>
      <c r="D283" s="2" t="s">
        <v>37</v>
      </c>
      <c r="E283" s="2" t="s">
        <v>372</v>
      </c>
      <c r="F283" s="6" t="n">
        <f aca="false">COUNTIF(dados!$I$2:$I$1028,E283)</f>
        <v>1</v>
      </c>
      <c r="G283" s="10" t="n">
        <f aca="false">SUMIFS(dados!$M$2:$M$1028,dados!$I$2:$I$1028,E283)</f>
        <v>0.0401150034063122</v>
      </c>
      <c r="H283" s="7" t="n">
        <f aca="false">SQRT(G283*40000/PI())</f>
        <v>22.6000019190491</v>
      </c>
      <c r="I283" s="11" t="n">
        <f aca="false">_xlfn.MAXIFS(dados!$N$2:$N$1028,dados!$I$2:$I$1028,E283)</f>
        <v>15</v>
      </c>
      <c r="J283" s="3"/>
      <c r="K283" s="3"/>
    </row>
    <row r="284" customFormat="false" ht="15" hidden="false" customHeight="false" outlineLevel="0" collapsed="false">
      <c r="A284" s="2" t="s">
        <v>32</v>
      </c>
      <c r="B284" s="2" t="s">
        <v>311</v>
      </c>
      <c r="C284" s="2" t="n">
        <v>284</v>
      </c>
      <c r="D284" s="2" t="s">
        <v>37</v>
      </c>
      <c r="E284" s="2" t="s">
        <v>373</v>
      </c>
      <c r="F284" s="6" t="n">
        <f aca="false">COUNTIF(dados!$I$2:$I$1028,E284)</f>
        <v>1</v>
      </c>
      <c r="G284" s="10" t="n">
        <f aca="false">SUMIFS(dados!$M$2:$M$1028,dados!$I$2:$I$1028,E284)</f>
        <v>0.0103132403123548</v>
      </c>
      <c r="H284" s="7" t="n">
        <f aca="false">SQRT(G284*40000/PI())</f>
        <v>11.4591559026165</v>
      </c>
      <c r="I284" s="11" t="n">
        <f aca="false">_xlfn.MAXIFS(dados!$N$2:$N$1028,dados!$I$2:$I$1028,E284)</f>
        <v>7</v>
      </c>
      <c r="J284" s="3"/>
      <c r="K284" s="3"/>
    </row>
    <row r="285" customFormat="false" ht="15" hidden="false" customHeight="false" outlineLevel="0" collapsed="false">
      <c r="A285" s="2" t="s">
        <v>32</v>
      </c>
      <c r="B285" s="2" t="s">
        <v>311</v>
      </c>
      <c r="C285" s="2" t="n">
        <v>285</v>
      </c>
      <c r="D285" s="2" t="s">
        <v>33</v>
      </c>
      <c r="E285" s="2" t="s">
        <v>374</v>
      </c>
      <c r="F285" s="6" t="n">
        <f aca="false">COUNTIF(dados!$I$2:$I$1028,E285)</f>
        <v>1</v>
      </c>
      <c r="G285" s="10" t="n">
        <f aca="false">SUMIFS(dados!$M$2:$M$1028,dados!$I$2:$I$1028,E285)</f>
        <v>0.0025783100780887</v>
      </c>
      <c r="H285" s="7" t="n">
        <f aca="false">SQRT(G285*40000/PI())</f>
        <v>5.72957795130823</v>
      </c>
      <c r="I285" s="11" t="n">
        <f aca="false">_xlfn.MAXIFS(dados!$N$2:$N$1028,dados!$I$2:$I$1028,E285)</f>
        <v>8</v>
      </c>
      <c r="J285" s="3"/>
      <c r="K285" s="3"/>
    </row>
    <row r="286" customFormat="false" ht="15" hidden="false" customHeight="false" outlineLevel="0" collapsed="false">
      <c r="A286" s="2" t="s">
        <v>32</v>
      </c>
      <c r="B286" s="2" t="s">
        <v>311</v>
      </c>
      <c r="C286" s="2" t="n">
        <v>286</v>
      </c>
      <c r="D286" s="2" t="s">
        <v>37</v>
      </c>
      <c r="E286" s="2" t="s">
        <v>375</v>
      </c>
      <c r="F286" s="6" t="n">
        <f aca="false">COUNTIF(dados!$I$2:$I$1028,E286)</f>
        <v>2</v>
      </c>
      <c r="G286" s="10" t="n">
        <f aca="false">SUMIFS(dados!$M$2:$M$1028,dados!$I$2:$I$1028,E286)</f>
        <v>0.0185415508702058</v>
      </c>
      <c r="H286" s="7" t="n">
        <f aca="false">SQRT(G286*40000/PI())</f>
        <v>15.3648416160612</v>
      </c>
      <c r="I286" s="11" t="n">
        <f aca="false">_xlfn.MAXIFS(dados!$N$2:$N$1028,dados!$I$2:$I$1028,E286)</f>
        <v>7</v>
      </c>
      <c r="J286" s="3"/>
      <c r="K286" s="3"/>
    </row>
    <row r="287" customFormat="false" ht="15" hidden="false" customHeight="false" outlineLevel="0" collapsed="false">
      <c r="A287" s="2" t="s">
        <v>32</v>
      </c>
      <c r="B287" s="2" t="s">
        <v>311</v>
      </c>
      <c r="C287" s="2" t="n">
        <v>287</v>
      </c>
      <c r="D287" s="2" t="s">
        <v>37</v>
      </c>
      <c r="E287" s="2" t="s">
        <v>376</v>
      </c>
      <c r="F287" s="6" t="n">
        <f aca="false">COUNTIF(dados!$I$2:$I$1028,E287)</f>
        <v>1</v>
      </c>
      <c r="G287" s="10" t="n">
        <f aca="false">SUMIFS(dados!$M$2:$M$1028,dados!$I$2:$I$1028,E287)</f>
        <v>0.049664299991826</v>
      </c>
      <c r="H287" s="7" t="n">
        <f aca="false">SQRT(G287*40000/PI())</f>
        <v>25.1464810085195</v>
      </c>
      <c r="I287" s="11" t="n">
        <f aca="false">_xlfn.MAXIFS(dados!$N$2:$N$1028,dados!$I$2:$I$1028,E287)</f>
        <v>15</v>
      </c>
      <c r="J287" s="3"/>
      <c r="K287" s="3"/>
    </row>
    <row r="288" customFormat="false" ht="15" hidden="false" customHeight="false" outlineLevel="0" collapsed="false">
      <c r="A288" s="2" t="s">
        <v>32</v>
      </c>
      <c r="B288" s="2" t="s">
        <v>311</v>
      </c>
      <c r="C288" s="2" t="n">
        <v>288</v>
      </c>
      <c r="D288" s="2" t="s">
        <v>37</v>
      </c>
      <c r="E288" s="2" t="s">
        <v>377</v>
      </c>
      <c r="F288" s="6" t="n">
        <f aca="false">COUNTIF(dados!$I$2:$I$1028,E288)</f>
        <v>1</v>
      </c>
      <c r="G288" s="10" t="n">
        <f aca="false">SUMIFS(dados!$M$2:$M$1028,dados!$I$2:$I$1028,E288)</f>
        <v>0.0198943678864869</v>
      </c>
      <c r="H288" s="7" t="n">
        <f aca="false">SQRT(G288*40000/PI())</f>
        <v>15.9154943091895</v>
      </c>
      <c r="I288" s="11" t="n">
        <f aca="false">_xlfn.MAXIFS(dados!$N$2:$N$1028,dados!$I$2:$I$1028,E288)</f>
        <v>14</v>
      </c>
      <c r="J288" s="3"/>
      <c r="K288" s="3"/>
    </row>
    <row r="289" customFormat="false" ht="15" hidden="false" customHeight="false" outlineLevel="0" collapsed="false">
      <c r="A289" s="2" t="s">
        <v>32</v>
      </c>
      <c r="B289" s="2" t="s">
        <v>311</v>
      </c>
      <c r="C289" s="2" t="n">
        <v>289</v>
      </c>
      <c r="D289" s="2" t="s">
        <v>37</v>
      </c>
      <c r="E289" s="2" t="s">
        <v>378</v>
      </c>
      <c r="F289" s="6" t="n">
        <f aca="false">COUNTIF(dados!$I$2:$I$1028,E289)</f>
        <v>1</v>
      </c>
      <c r="G289" s="10" t="n">
        <f aca="false">SUMIFS(dados!$M$2:$M$1028,dados!$I$2:$I$1028,E289)</f>
        <v>0.0175786634644998</v>
      </c>
      <c r="H289" s="7" t="n">
        <f aca="false">SQRT(G289*40000/PI())</f>
        <v>14.9605646506382</v>
      </c>
      <c r="I289" s="11" t="n">
        <f aca="false">_xlfn.MAXIFS(dados!$N$2:$N$1028,dados!$I$2:$I$1028,E289)</f>
        <v>9</v>
      </c>
      <c r="J289" s="3"/>
      <c r="K289" s="3"/>
    </row>
    <row r="290" customFormat="false" ht="15" hidden="false" customHeight="false" outlineLevel="0" collapsed="false">
      <c r="A290" s="2" t="s">
        <v>32</v>
      </c>
      <c r="B290" s="2" t="s">
        <v>311</v>
      </c>
      <c r="C290" s="2" t="n">
        <v>290</v>
      </c>
      <c r="D290" s="2" t="s">
        <v>33</v>
      </c>
      <c r="E290" s="2" t="s">
        <v>379</v>
      </c>
      <c r="F290" s="6" t="n">
        <f aca="false">COUNTIF(dados!$I$2:$I$1028,E290)</f>
        <v>1</v>
      </c>
      <c r="G290" s="10" t="n">
        <f aca="false">SUMIFS(dados!$M$2:$M$1028,dados!$I$2:$I$1028,E290)</f>
        <v>0.0133769729668738</v>
      </c>
      <c r="H290" s="7" t="n">
        <f aca="false">SQRT(G290*40000/PI())</f>
        <v>13.0507053335354</v>
      </c>
      <c r="I290" s="11" t="n">
        <f aca="false">_xlfn.MAXIFS(dados!$N$2:$N$1028,dados!$I$2:$I$1028,E290)</f>
        <v>15</v>
      </c>
      <c r="J290" s="3"/>
      <c r="K290" s="3"/>
    </row>
    <row r="291" customFormat="false" ht="15" hidden="false" customHeight="false" outlineLevel="0" collapsed="false">
      <c r="A291" s="2" t="s">
        <v>32</v>
      </c>
      <c r="B291" s="2" t="s">
        <v>311</v>
      </c>
      <c r="C291" s="2" t="n">
        <v>291</v>
      </c>
      <c r="D291" s="2" t="s">
        <v>33</v>
      </c>
      <c r="E291" s="2" t="s">
        <v>380</v>
      </c>
      <c r="F291" s="6" t="n">
        <f aca="false">COUNTIF(dados!$I$2:$I$1028,E291)</f>
        <v>1</v>
      </c>
      <c r="G291" s="10" t="n">
        <f aca="false">SUMIFS(dados!$M$2:$M$1028,dados!$I$2:$I$1028,E291)</f>
        <v>0.00458366236104659</v>
      </c>
      <c r="H291" s="7" t="n">
        <f aca="false">SQRT(G291*40000/PI())</f>
        <v>7.63943726841098</v>
      </c>
      <c r="I291" s="11" t="n">
        <f aca="false">_xlfn.MAXIFS(dados!$N$2:$N$1028,dados!$I$2:$I$1028,E291)</f>
        <v>10</v>
      </c>
      <c r="J291" s="3"/>
      <c r="K291" s="3"/>
    </row>
    <row r="292" customFormat="false" ht="15" hidden="false" customHeight="false" outlineLevel="0" collapsed="false">
      <c r="A292" s="2" t="s">
        <v>50</v>
      </c>
      <c r="B292" s="2" t="s">
        <v>381</v>
      </c>
      <c r="C292" s="2" t="n">
        <v>1</v>
      </c>
      <c r="D292" s="2" t="s">
        <v>37</v>
      </c>
      <c r="E292" s="2" t="s">
        <v>382</v>
      </c>
      <c r="F292" s="6" t="n">
        <f aca="false">COUNTIF(dados!$I$2:$I$1028,E292)</f>
        <v>1</v>
      </c>
      <c r="G292" s="10" t="n">
        <f aca="false">SUMIFS(dados!$M$2:$M$1028,dados!$I$2:$I$1028,E292)</f>
        <v>0.0764262036727281</v>
      </c>
      <c r="H292" s="7" t="n">
        <f aca="false">SQRT(G292*40000/PI())</f>
        <v>31.1943688460115</v>
      </c>
      <c r="I292" s="11" t="n">
        <f aca="false">_xlfn.MAXIFS(dados!$N$2:$N$1028,dados!$I$2:$I$1028,E292)</f>
        <v>15</v>
      </c>
      <c r="J292" s="3"/>
      <c r="K292" s="3"/>
    </row>
    <row r="293" customFormat="false" ht="15" hidden="false" customHeight="false" outlineLevel="0" collapsed="false">
      <c r="A293" s="2" t="s">
        <v>50</v>
      </c>
      <c r="B293" s="2" t="s">
        <v>381</v>
      </c>
      <c r="C293" s="2" t="n">
        <v>2</v>
      </c>
      <c r="D293" s="2" t="s">
        <v>51</v>
      </c>
      <c r="E293" s="2" t="s">
        <v>383</v>
      </c>
      <c r="F293" s="6" t="n">
        <f aca="false">COUNTIF(dados!$I$2:$I$1028,E293)</f>
        <v>1</v>
      </c>
      <c r="G293" s="10" t="n">
        <f aca="false">SUMIFS(dados!$M$2:$M$1028,dados!$I$2:$I$1028,E293)</f>
        <v>0.0147138744888457</v>
      </c>
      <c r="H293" s="7" t="n">
        <f aca="false">SQRT(G293*40000/PI())</f>
        <v>13.687325105903</v>
      </c>
      <c r="I293" s="11" t="n">
        <f aca="false">_xlfn.MAXIFS(dados!$N$2:$N$1028,dados!$I$2:$I$1028,E293)</f>
        <v>14</v>
      </c>
      <c r="J293" s="3"/>
      <c r="K293" s="3"/>
    </row>
    <row r="294" customFormat="false" ht="15" hidden="false" customHeight="false" outlineLevel="0" collapsed="false">
      <c r="A294" s="2" t="s">
        <v>50</v>
      </c>
      <c r="B294" s="2" t="s">
        <v>381</v>
      </c>
      <c r="C294" s="2" t="n">
        <v>3</v>
      </c>
      <c r="D294" s="2" t="s">
        <v>37</v>
      </c>
      <c r="E294" s="2" t="s">
        <v>384</v>
      </c>
      <c r="F294" s="6" t="n">
        <f aca="false">COUNTIF(dados!$I$2:$I$1028,E294)</f>
        <v>1</v>
      </c>
      <c r="G294" s="10" t="n">
        <f aca="false">SUMIFS(dados!$M$2:$M$1028,dados!$I$2:$I$1028,E294)</f>
        <v>0.0108941558546402</v>
      </c>
      <c r="H294" s="7" t="n">
        <f aca="false">SQRT(G294*40000/PI())</f>
        <v>11.7774657888003</v>
      </c>
      <c r="I294" s="11" t="n">
        <f aca="false">_xlfn.MAXIFS(dados!$N$2:$N$1028,dados!$I$2:$I$1028,E294)</f>
        <v>10</v>
      </c>
      <c r="J294" s="3"/>
      <c r="K294" s="3"/>
    </row>
    <row r="295" customFormat="false" ht="15" hidden="false" customHeight="false" outlineLevel="0" collapsed="false">
      <c r="A295" s="2" t="s">
        <v>50</v>
      </c>
      <c r="B295" s="2" t="s">
        <v>381</v>
      </c>
      <c r="C295" s="2" t="n">
        <v>4</v>
      </c>
      <c r="D295" s="2" t="s">
        <v>51</v>
      </c>
      <c r="E295" s="2" t="s">
        <v>385</v>
      </c>
      <c r="F295" s="6" t="n">
        <f aca="false">COUNTIF(dados!$I$2:$I$1028,E295)</f>
        <v>1</v>
      </c>
      <c r="G295" s="10" t="n">
        <f aca="false">SUMIFS(dados!$M$2:$M$1028,dados!$I$2:$I$1028,E295)</f>
        <v>0.0412529612494193</v>
      </c>
      <c r="H295" s="7" t="n">
        <f aca="false">SQRT(G295*40000/PI())</f>
        <v>22.9183118052329</v>
      </c>
      <c r="I295" s="11" t="n">
        <f aca="false">_xlfn.MAXIFS(dados!$N$2:$N$1028,dados!$I$2:$I$1028,E295)</f>
        <v>15</v>
      </c>
      <c r="J295" s="3"/>
      <c r="K295" s="3"/>
    </row>
    <row r="296" customFormat="false" ht="15" hidden="false" customHeight="false" outlineLevel="0" collapsed="false">
      <c r="A296" s="2" t="s">
        <v>50</v>
      </c>
      <c r="B296" s="2" t="s">
        <v>381</v>
      </c>
      <c r="C296" s="2" t="n">
        <v>5</v>
      </c>
      <c r="D296" s="2" t="s">
        <v>52</v>
      </c>
      <c r="E296" s="2" t="s">
        <v>386</v>
      </c>
      <c r="F296" s="6" t="n">
        <f aca="false">COUNTIF(dados!$I$2:$I$1028,E296)</f>
        <v>1</v>
      </c>
      <c r="G296" s="10" t="n">
        <f aca="false">SUMIFS(dados!$M$2:$M$1028,dados!$I$2:$I$1028,E296)</f>
        <v>0.0108941558546402</v>
      </c>
      <c r="H296" s="7" t="n">
        <f aca="false">SQRT(G296*40000/PI())</f>
        <v>11.7774657888003</v>
      </c>
      <c r="I296" s="11" t="n">
        <f aca="false">_xlfn.MAXIFS(dados!$N$2:$N$1028,dados!$I$2:$I$1028,E296)</f>
        <v>11</v>
      </c>
      <c r="J296" s="3"/>
      <c r="K296" s="3"/>
    </row>
    <row r="297" customFormat="false" ht="15" hidden="false" customHeight="false" outlineLevel="0" collapsed="false">
      <c r="A297" s="2" t="s">
        <v>50</v>
      </c>
      <c r="B297" s="2" t="s">
        <v>381</v>
      </c>
      <c r="C297" s="2" t="n">
        <v>6</v>
      </c>
      <c r="D297" s="2" t="s">
        <v>48</v>
      </c>
      <c r="E297" s="2" t="s">
        <v>387</v>
      </c>
      <c r="F297" s="6" t="n">
        <f aca="false">COUNTIF(dados!$I$2:$I$1028,E297)</f>
        <v>1</v>
      </c>
      <c r="G297" s="10" t="n">
        <f aca="false">SUMIFS(dados!$M$2:$M$1028,dados!$I$2:$I$1028,E297)</f>
        <v>0.0435766234185609</v>
      </c>
      <c r="H297" s="7" t="n">
        <f aca="false">SQRT(G297*40000/PI())</f>
        <v>23.5549315776005</v>
      </c>
      <c r="I297" s="11" t="n">
        <f aca="false">_xlfn.MAXIFS(dados!$N$2:$N$1028,dados!$I$2:$I$1028,E297)</f>
        <v>14</v>
      </c>
      <c r="J297" s="3"/>
      <c r="K297" s="3"/>
    </row>
    <row r="298" customFormat="false" ht="15" hidden="false" customHeight="false" outlineLevel="0" collapsed="false">
      <c r="A298" s="2" t="s">
        <v>50</v>
      </c>
      <c r="B298" s="2" t="s">
        <v>381</v>
      </c>
      <c r="C298" s="2" t="n">
        <v>7</v>
      </c>
      <c r="D298" s="2" t="s">
        <v>52</v>
      </c>
      <c r="E298" s="2" t="s">
        <v>388</v>
      </c>
      <c r="F298" s="6" t="n">
        <f aca="false">COUNTIF(dados!$I$2:$I$1028,E298)</f>
        <v>1</v>
      </c>
      <c r="G298" s="10" t="n">
        <f aca="false">SUMIFS(dados!$M$2:$M$1028,dados!$I$2:$I$1028,E298)</f>
        <v>0.0121037334221386</v>
      </c>
      <c r="H298" s="7" t="n">
        <f aca="false">SQRT(G298*40000/PI())</f>
        <v>12.4140855611678</v>
      </c>
      <c r="I298" s="11" t="n">
        <f aca="false">_xlfn.MAXIFS(dados!$N$2:$N$1028,dados!$I$2:$I$1028,E298)</f>
        <v>12</v>
      </c>
      <c r="J298" s="3"/>
      <c r="K298" s="3"/>
    </row>
    <row r="299" customFormat="false" ht="15" hidden="false" customHeight="false" outlineLevel="0" collapsed="false">
      <c r="A299" s="2" t="s">
        <v>50</v>
      </c>
      <c r="B299" s="2" t="s">
        <v>381</v>
      </c>
      <c r="C299" s="2" t="n">
        <v>8</v>
      </c>
      <c r="D299" s="2" t="s">
        <v>53</v>
      </c>
      <c r="E299" s="2" t="s">
        <v>389</v>
      </c>
      <c r="F299" s="6" t="n">
        <f aca="false">COUNTIF(dados!$I$2:$I$1028,E299)</f>
        <v>1</v>
      </c>
      <c r="G299" s="10" t="n">
        <f aca="false">SUMIFS(dados!$M$2:$M$1028,dados!$I$2:$I$1028,E299)</f>
        <v>0.00229978892767789</v>
      </c>
      <c r="H299" s="7" t="n">
        <f aca="false">SQRT(G299*40000/PI())</f>
        <v>5.41126806512444</v>
      </c>
      <c r="I299" s="11" t="n">
        <f aca="false">_xlfn.MAXIFS(dados!$N$2:$N$1028,dados!$I$2:$I$1028,E299)</f>
        <v>10</v>
      </c>
      <c r="J299" s="3"/>
      <c r="K299" s="3"/>
    </row>
    <row r="300" customFormat="false" ht="15" hidden="false" customHeight="false" outlineLevel="0" collapsed="false">
      <c r="A300" s="2" t="s">
        <v>50</v>
      </c>
      <c r="B300" s="2" t="s">
        <v>381</v>
      </c>
      <c r="C300" s="2" t="n">
        <v>9</v>
      </c>
      <c r="D300" s="2" t="s">
        <v>54</v>
      </c>
      <c r="E300" s="2" t="s">
        <v>390</v>
      </c>
      <c r="F300" s="6" t="n">
        <f aca="false">COUNTIF(dados!$I$2:$I$1028,E300)</f>
        <v>1</v>
      </c>
      <c r="G300" s="10" t="n">
        <f aca="false">SUMIFS(dados!$M$2:$M$1028,dados!$I$2:$I$1028,E300)</f>
        <v>0.0108941558546402</v>
      </c>
      <c r="H300" s="7" t="n">
        <f aca="false">SQRT(G300*40000/PI())</f>
        <v>11.7774657888003</v>
      </c>
      <c r="I300" s="11" t="n">
        <f aca="false">_xlfn.MAXIFS(dados!$N$2:$N$1028,dados!$I$2:$I$1028,E300)</f>
        <v>13</v>
      </c>
      <c r="J300" s="3"/>
      <c r="K300" s="3"/>
    </row>
    <row r="301" customFormat="false" ht="15" hidden="false" customHeight="false" outlineLevel="0" collapsed="false">
      <c r="A301" s="2" t="s">
        <v>50</v>
      </c>
      <c r="B301" s="2" t="s">
        <v>381</v>
      </c>
      <c r="C301" s="2" t="n">
        <v>10</v>
      </c>
      <c r="D301" s="2" t="s">
        <v>55</v>
      </c>
      <c r="E301" s="2" t="s">
        <v>391</v>
      </c>
      <c r="F301" s="6" t="n">
        <f aca="false">COUNTIF(dados!$I$2:$I$1028,E301)</f>
        <v>1</v>
      </c>
      <c r="G301" s="10" t="n">
        <f aca="false">SUMIFS(dados!$M$2:$M$1028,dados!$I$2:$I$1028,E301)</f>
        <v>0.00580119767569958</v>
      </c>
      <c r="H301" s="7" t="n">
        <f aca="false">SQRT(G301*40000/PI())</f>
        <v>8.59436692696235</v>
      </c>
      <c r="I301" s="11" t="n">
        <f aca="false">_xlfn.MAXIFS(dados!$N$2:$N$1028,dados!$I$2:$I$1028,E301)</f>
        <v>10</v>
      </c>
      <c r="J301" s="3"/>
      <c r="K301" s="3"/>
    </row>
    <row r="302" customFormat="false" ht="15" hidden="false" customHeight="false" outlineLevel="0" collapsed="false">
      <c r="A302" s="2" t="s">
        <v>50</v>
      </c>
      <c r="B302" s="2" t="s">
        <v>381</v>
      </c>
      <c r="C302" s="2" t="n">
        <v>11</v>
      </c>
      <c r="D302" s="2" t="s">
        <v>51</v>
      </c>
      <c r="E302" s="2" t="s">
        <v>392</v>
      </c>
      <c r="F302" s="6" t="n">
        <f aca="false">COUNTIF(dados!$I$2:$I$1028,E302)</f>
        <v>1</v>
      </c>
      <c r="G302" s="10" t="n">
        <f aca="false">SUMIFS(dados!$M$2:$M$1028,dados!$I$2:$I$1028,E302)</f>
        <v>0.0086659866513537</v>
      </c>
      <c r="H302" s="7" t="n">
        <f aca="false">SQRT(G302*40000/PI())</f>
        <v>10.5042262440651</v>
      </c>
      <c r="I302" s="11" t="n">
        <f aca="false">_xlfn.MAXIFS(dados!$N$2:$N$1028,dados!$I$2:$I$1028,E302)</f>
        <v>9</v>
      </c>
      <c r="J302" s="3"/>
      <c r="K302" s="3"/>
    </row>
    <row r="303" customFormat="false" ht="15" hidden="false" customHeight="false" outlineLevel="0" collapsed="false">
      <c r="A303" s="2" t="s">
        <v>50</v>
      </c>
      <c r="B303" s="2" t="s">
        <v>381</v>
      </c>
      <c r="C303" s="2" t="n">
        <v>12</v>
      </c>
      <c r="D303" s="2" t="s">
        <v>52</v>
      </c>
      <c r="E303" s="2" t="s">
        <v>393</v>
      </c>
      <c r="F303" s="6" t="n">
        <f aca="false">COUNTIF(dados!$I$2:$I$1028,E303)</f>
        <v>1</v>
      </c>
      <c r="G303" s="10" t="n">
        <f aca="false">SUMIFS(dados!$M$2:$M$1028,dados!$I$2:$I$1028,E303)</f>
        <v>0.00814873308630504</v>
      </c>
      <c r="H303" s="7" t="n">
        <f aca="false">SQRT(G303*40000/PI())</f>
        <v>10.1859163578813</v>
      </c>
      <c r="I303" s="11" t="n">
        <f aca="false">_xlfn.MAXIFS(dados!$N$2:$N$1028,dados!$I$2:$I$1028,E303)</f>
        <v>14</v>
      </c>
      <c r="J303" s="3"/>
      <c r="K303" s="3"/>
    </row>
    <row r="304" customFormat="false" ht="15" hidden="false" customHeight="false" outlineLevel="0" collapsed="false">
      <c r="A304" s="2" t="s">
        <v>50</v>
      </c>
      <c r="B304" s="2" t="s">
        <v>381</v>
      </c>
      <c r="C304" s="2" t="n">
        <v>13</v>
      </c>
      <c r="D304" s="2" t="s">
        <v>52</v>
      </c>
      <c r="E304" s="2" t="s">
        <v>394</v>
      </c>
      <c r="F304" s="6" t="n">
        <f aca="false">COUNTIF(dados!$I$2:$I$1028,E304)</f>
        <v>1</v>
      </c>
      <c r="G304" s="10" t="n">
        <f aca="false">SUMIFS(dados!$M$2:$M$1028,dados!$I$2:$I$1028,E304)</f>
        <v>0.00458366236104659</v>
      </c>
      <c r="H304" s="7" t="n">
        <f aca="false">SQRT(G304*40000/PI())</f>
        <v>7.63943726841098</v>
      </c>
      <c r="I304" s="11" t="n">
        <f aca="false">_xlfn.MAXIFS(dados!$N$2:$N$1028,dados!$I$2:$I$1028,E304)</f>
        <v>6</v>
      </c>
      <c r="J304" s="3"/>
      <c r="K304" s="3"/>
    </row>
    <row r="305" customFormat="false" ht="15" hidden="false" customHeight="false" outlineLevel="0" collapsed="false">
      <c r="A305" s="2" t="s">
        <v>50</v>
      </c>
      <c r="B305" s="2" t="s">
        <v>381</v>
      </c>
      <c r="C305" s="2" t="n">
        <v>14</v>
      </c>
      <c r="D305" s="2" t="s">
        <v>52</v>
      </c>
      <c r="E305" s="2" t="s">
        <v>395</v>
      </c>
      <c r="F305" s="6" t="n">
        <f aca="false">COUNTIF(dados!$I$2:$I$1028,E305)</f>
        <v>1</v>
      </c>
      <c r="G305" s="10" t="n">
        <f aca="false">SUMIFS(dados!$M$2:$M$1028,dados!$I$2:$I$1028,E305)</f>
        <v>0.00537943707650606</v>
      </c>
      <c r="H305" s="7" t="n">
        <f aca="false">SQRT(G305*40000/PI())</f>
        <v>8.27605704077856</v>
      </c>
      <c r="I305" s="11" t="n">
        <f aca="false">_xlfn.MAXIFS(dados!$N$2:$N$1028,dados!$I$2:$I$1028,E305)</f>
        <v>15</v>
      </c>
      <c r="J305" s="3"/>
      <c r="K305" s="3"/>
    </row>
    <row r="306" customFormat="false" ht="15" hidden="false" customHeight="false" outlineLevel="0" collapsed="false">
      <c r="A306" s="2" t="s">
        <v>50</v>
      </c>
      <c r="B306" s="2" t="s">
        <v>381</v>
      </c>
      <c r="C306" s="2" t="n">
        <v>15</v>
      </c>
      <c r="D306" s="2" t="s">
        <v>44</v>
      </c>
      <c r="E306" s="2" t="s">
        <v>396</v>
      </c>
      <c r="F306" s="6" t="n">
        <f aca="false">COUNTIF(dados!$I$2:$I$1028,E306)</f>
        <v>1</v>
      </c>
      <c r="G306" s="10" t="n">
        <f aca="false">SUMIFS(dados!$M$2:$M$1028,dados!$I$2:$I$1028,E306)</f>
        <v>0.0066924653570142</v>
      </c>
      <c r="H306" s="7" t="n">
        <f aca="false">SQRT(G306*40000/PI())</f>
        <v>9.23098669932993</v>
      </c>
      <c r="I306" s="11" t="n">
        <f aca="false">_xlfn.MAXIFS(dados!$N$2:$N$1028,dados!$I$2:$I$1028,E306)</f>
        <v>7</v>
      </c>
      <c r="J306" s="3"/>
      <c r="K306" s="3"/>
    </row>
    <row r="307" customFormat="false" ht="15" hidden="false" customHeight="false" outlineLevel="0" collapsed="false">
      <c r="A307" s="2" t="s">
        <v>50</v>
      </c>
      <c r="B307" s="2" t="s">
        <v>381</v>
      </c>
      <c r="C307" s="2" t="n">
        <v>16</v>
      </c>
      <c r="D307" s="2" t="s">
        <v>37</v>
      </c>
      <c r="E307" s="2" t="s">
        <v>397</v>
      </c>
      <c r="F307" s="6" t="n">
        <f aca="false">COUNTIF(dados!$I$2:$I$1028,E307)</f>
        <v>1</v>
      </c>
      <c r="G307" s="10" t="n">
        <f aca="false">SUMIFS(dados!$M$2:$M$1028,dados!$I$2:$I$1028,E307)</f>
        <v>0.00537943707650606</v>
      </c>
      <c r="H307" s="7" t="n">
        <f aca="false">SQRT(G307*40000/PI())</f>
        <v>8.27605704077856</v>
      </c>
      <c r="I307" s="11" t="n">
        <f aca="false">_xlfn.MAXIFS(dados!$N$2:$N$1028,dados!$I$2:$I$1028,E307)</f>
        <v>10</v>
      </c>
      <c r="J307" s="3"/>
      <c r="K307" s="3"/>
    </row>
    <row r="308" customFormat="false" ht="15" hidden="false" customHeight="false" outlineLevel="0" collapsed="false">
      <c r="A308" s="2" t="s">
        <v>50</v>
      </c>
      <c r="B308" s="2" t="s">
        <v>381</v>
      </c>
      <c r="C308" s="2" t="n">
        <v>17</v>
      </c>
      <c r="D308" s="2" t="s">
        <v>37</v>
      </c>
      <c r="E308" s="2" t="s">
        <v>398</v>
      </c>
      <c r="F308" s="6" t="n">
        <f aca="false">COUNTIF(dados!$I$2:$I$1028,E308)</f>
        <v>1</v>
      </c>
      <c r="G308" s="10" t="n">
        <f aca="false">SUMIFS(dados!$M$2:$M$1028,dados!$I$2:$I$1028,E308)</f>
        <v>0.0357223269769759</v>
      </c>
      <c r="H308" s="7" t="n">
        <f aca="false">SQRT(G308*40000/PI())</f>
        <v>21.326762374314</v>
      </c>
      <c r="I308" s="11" t="n">
        <f aca="false">_xlfn.MAXIFS(dados!$N$2:$N$1028,dados!$I$2:$I$1028,E308)</f>
        <v>15</v>
      </c>
      <c r="J308" s="3"/>
      <c r="K308" s="3"/>
    </row>
    <row r="309" customFormat="false" ht="15" hidden="false" customHeight="false" outlineLevel="0" collapsed="false">
      <c r="A309" s="2" t="s">
        <v>50</v>
      </c>
      <c r="B309" s="2" t="s">
        <v>381</v>
      </c>
      <c r="C309" s="2" t="n">
        <v>18</v>
      </c>
      <c r="D309" s="2" t="s">
        <v>52</v>
      </c>
      <c r="E309" s="2" t="s">
        <v>399</v>
      </c>
      <c r="F309" s="6" t="n">
        <f aca="false">COUNTIF(dados!$I$2:$I$1028,E309)</f>
        <v>1</v>
      </c>
      <c r="G309" s="10" t="n">
        <f aca="false">SUMIFS(dados!$M$2:$M$1028,dados!$I$2:$I$1028,E309)</f>
        <v>0.00420964824478063</v>
      </c>
      <c r="H309" s="7" t="n">
        <f aca="false">SQRT(G309*40000/PI())</f>
        <v>7.32112738222719</v>
      </c>
      <c r="I309" s="11" t="n">
        <f aca="false">_xlfn.MAXIFS(dados!$N$2:$N$1028,dados!$I$2:$I$1028,E309)</f>
        <v>15</v>
      </c>
      <c r="J309" s="3"/>
      <c r="K309" s="3"/>
    </row>
    <row r="310" customFormat="false" ht="15" hidden="false" customHeight="false" outlineLevel="0" collapsed="false">
      <c r="A310" s="2" t="s">
        <v>50</v>
      </c>
      <c r="B310" s="2" t="s">
        <v>381</v>
      </c>
      <c r="C310" s="2" t="n">
        <v>19</v>
      </c>
      <c r="D310" s="2" t="s">
        <v>56</v>
      </c>
      <c r="E310" s="2" t="s">
        <v>400</v>
      </c>
      <c r="F310" s="6" t="n">
        <f aca="false">COUNTIF(dados!$I$2:$I$1028,E310)</f>
        <v>1</v>
      </c>
      <c r="G310" s="10" t="n">
        <f aca="false">SUMIFS(dados!$M$2:$M$1028,dados!$I$2:$I$1028,E310)</f>
        <v>0.00580119767569958</v>
      </c>
      <c r="H310" s="7" t="n">
        <f aca="false">SQRT(G310*40000/PI())</f>
        <v>8.59436692696235</v>
      </c>
      <c r="I310" s="11" t="n">
        <f aca="false">_xlfn.MAXIFS(dados!$N$2:$N$1028,dados!$I$2:$I$1028,E310)</f>
        <v>13</v>
      </c>
      <c r="J310" s="3"/>
      <c r="K310" s="3"/>
    </row>
    <row r="311" customFormat="false" ht="15" hidden="false" customHeight="false" outlineLevel="0" collapsed="false">
      <c r="A311" s="2" t="s">
        <v>50</v>
      </c>
      <c r="B311" s="2" t="s">
        <v>381</v>
      </c>
      <c r="C311" s="2" t="n">
        <v>20</v>
      </c>
      <c r="D311" s="2" t="s">
        <v>52</v>
      </c>
      <c r="E311" s="2" t="s">
        <v>401</v>
      </c>
      <c r="F311" s="6" t="n">
        <f aca="false">COUNTIF(dados!$I$2:$I$1028,E311)</f>
        <v>1</v>
      </c>
      <c r="G311" s="10" t="n">
        <f aca="false">SUMIFS(dados!$M$2:$M$1028,dados!$I$2:$I$1028,E311)</f>
        <v>0.00716197243913529</v>
      </c>
      <c r="H311" s="7" t="n">
        <f aca="false">SQRT(G311*40000/PI())</f>
        <v>9.54929658551372</v>
      </c>
      <c r="I311" s="11" t="n">
        <f aca="false">_xlfn.MAXIFS(dados!$N$2:$N$1028,dados!$I$2:$I$1028,E311)</f>
        <v>14</v>
      </c>
      <c r="J311" s="3"/>
      <c r="K311" s="3"/>
    </row>
    <row r="312" customFormat="false" ht="15" hidden="false" customHeight="false" outlineLevel="0" collapsed="false">
      <c r="A312" s="2" t="s">
        <v>50</v>
      </c>
      <c r="B312" s="2" t="s">
        <v>381</v>
      </c>
      <c r="C312" s="2" t="n">
        <v>21</v>
      </c>
      <c r="D312" s="2" t="s">
        <v>52</v>
      </c>
      <c r="E312" s="2" t="s">
        <v>402</v>
      </c>
      <c r="F312" s="6" t="n">
        <f aca="false">COUNTIF(dados!$I$2:$I$1028,E312)</f>
        <v>1</v>
      </c>
      <c r="G312" s="10" t="n">
        <f aca="false">SUMIFS(dados!$M$2:$M$1028,dados!$I$2:$I$1028,E312)</f>
        <v>0.0062388737692023</v>
      </c>
      <c r="H312" s="7" t="n">
        <f aca="false">SQRT(G312*40000/PI())</f>
        <v>8.91267681314614</v>
      </c>
      <c r="I312" s="11" t="n">
        <f aca="false">_xlfn.MAXIFS(dados!$N$2:$N$1028,dados!$I$2:$I$1028,E312)</f>
        <v>8</v>
      </c>
      <c r="J312" s="3"/>
      <c r="K312" s="3"/>
    </row>
    <row r="313" customFormat="false" ht="15" hidden="false" customHeight="false" outlineLevel="0" collapsed="false">
      <c r="A313" s="2" t="s">
        <v>50</v>
      </c>
      <c r="B313" s="2" t="s">
        <v>381</v>
      </c>
      <c r="C313" s="2" t="n">
        <v>22</v>
      </c>
      <c r="D313" s="2" t="s">
        <v>37</v>
      </c>
      <c r="E313" s="2" t="s">
        <v>403</v>
      </c>
      <c r="F313" s="6" t="n">
        <f aca="false">COUNTIF(dados!$I$2:$I$1028,E313)</f>
        <v>1</v>
      </c>
      <c r="G313" s="10" t="n">
        <f aca="false">SUMIFS(dados!$M$2:$M$1028,dados!$I$2:$I$1028,E313)</f>
        <v>0.0277009178451444</v>
      </c>
      <c r="H313" s="7" t="n">
        <f aca="false">SQRT(G313*40000/PI())</f>
        <v>18.7802832848437</v>
      </c>
      <c r="I313" s="11" t="n">
        <f aca="false">_xlfn.MAXIFS(dados!$N$2:$N$1028,dados!$I$2:$I$1028,E313)</f>
        <v>17</v>
      </c>
      <c r="J313" s="3"/>
      <c r="K313" s="3"/>
    </row>
    <row r="314" customFormat="false" ht="15" hidden="false" customHeight="false" outlineLevel="0" collapsed="false">
      <c r="A314" s="2" t="s">
        <v>50</v>
      </c>
      <c r="B314" s="2" t="s">
        <v>381</v>
      </c>
      <c r="C314" s="2" t="n">
        <v>23</v>
      </c>
      <c r="D314" s="2" t="s">
        <v>37</v>
      </c>
      <c r="E314" s="2" t="s">
        <v>404</v>
      </c>
      <c r="F314" s="6" t="n">
        <f aca="false">COUNTIF(dados!$I$2:$I$1028,E314)</f>
        <v>1</v>
      </c>
      <c r="G314" s="10" t="n">
        <f aca="false">SUMIFS(dados!$M$2:$M$1028,dados!$I$2:$I$1028,E314)</f>
        <v>0.0232047907027983</v>
      </c>
      <c r="H314" s="7" t="n">
        <f aca="false">SQRT(G314*40000/PI())</f>
        <v>17.1887338539247</v>
      </c>
      <c r="I314" s="11" t="n">
        <f aca="false">_xlfn.MAXIFS(dados!$N$2:$N$1028,dados!$I$2:$I$1028,E314)</f>
        <v>10</v>
      </c>
      <c r="J314" s="3"/>
      <c r="K314" s="3"/>
    </row>
    <row r="315" customFormat="false" ht="15" hidden="false" customHeight="false" outlineLevel="0" collapsed="false">
      <c r="A315" s="2" t="s">
        <v>50</v>
      </c>
      <c r="B315" s="2" t="s">
        <v>381</v>
      </c>
      <c r="C315" s="2" t="n">
        <v>24</v>
      </c>
      <c r="D315" s="2" t="s">
        <v>52</v>
      </c>
      <c r="E315" s="2" t="s">
        <v>405</v>
      </c>
      <c r="F315" s="6" t="n">
        <f aca="false">COUNTIF(dados!$I$2:$I$1028,E315)</f>
        <v>1</v>
      </c>
      <c r="G315" s="10" t="n">
        <f aca="false">SUMIFS(dados!$M$2:$M$1028,dados!$I$2:$I$1028,E315)</f>
        <v>0.0086659866513537</v>
      </c>
      <c r="H315" s="7" t="n">
        <f aca="false">SQRT(G315*40000/PI())</f>
        <v>10.5042262440651</v>
      </c>
      <c r="I315" s="11" t="n">
        <f aca="false">_xlfn.MAXIFS(dados!$N$2:$N$1028,dados!$I$2:$I$1028,E315)</f>
        <v>15</v>
      </c>
      <c r="J315" s="3"/>
      <c r="K315" s="3"/>
    </row>
    <row r="316" customFormat="false" ht="15" hidden="false" customHeight="false" outlineLevel="0" collapsed="false">
      <c r="A316" s="2" t="s">
        <v>50</v>
      </c>
      <c r="B316" s="2" t="s">
        <v>381</v>
      </c>
      <c r="C316" s="2" t="n">
        <v>25</v>
      </c>
      <c r="D316" s="2" t="s">
        <v>37</v>
      </c>
      <c r="E316" s="2" t="s">
        <v>406</v>
      </c>
      <c r="F316" s="6" t="n">
        <f aca="false">COUNTIF(dados!$I$2:$I$1028,E316)</f>
        <v>1</v>
      </c>
      <c r="G316" s="10" t="n">
        <f aca="false">SUMIFS(dados!$M$2:$M$1028,dados!$I$2:$I$1028,E316)</f>
        <v>0.0127323954473516</v>
      </c>
      <c r="H316" s="7" t="n">
        <f aca="false">SQRT(G316*40000/PI())</f>
        <v>12.7323954473516</v>
      </c>
      <c r="I316" s="11" t="n">
        <f aca="false">_xlfn.MAXIFS(dados!$N$2:$N$1028,dados!$I$2:$I$1028,E316)</f>
        <v>11</v>
      </c>
      <c r="J316" s="3"/>
      <c r="K316" s="3"/>
    </row>
    <row r="317" customFormat="false" ht="15" hidden="false" customHeight="false" outlineLevel="0" collapsed="false">
      <c r="A317" s="2" t="s">
        <v>50</v>
      </c>
      <c r="B317" s="2" t="s">
        <v>381</v>
      </c>
      <c r="C317" s="2" t="n">
        <v>26</v>
      </c>
      <c r="D317" s="2" t="s">
        <v>37</v>
      </c>
      <c r="E317" s="2" t="s">
        <v>407</v>
      </c>
      <c r="F317" s="6" t="n">
        <f aca="false">COUNTIF(dados!$I$2:$I$1028,E317)</f>
        <v>1</v>
      </c>
      <c r="G317" s="10" t="n">
        <f aca="false">SUMIFS(dados!$M$2:$M$1028,dados!$I$2:$I$1028,E317)</f>
        <v>0.108933600799248</v>
      </c>
      <c r="H317" s="7" t="n">
        <f aca="false">SQRT(G317*40000/PI())</f>
        <v>37.2422566835035</v>
      </c>
      <c r="I317" s="11" t="n">
        <f aca="false">_xlfn.MAXIFS(dados!$N$2:$N$1028,dados!$I$2:$I$1028,E317)</f>
        <v>20</v>
      </c>
      <c r="J317" s="3"/>
      <c r="K317" s="3"/>
    </row>
    <row r="318" customFormat="false" ht="15" hidden="false" customHeight="false" outlineLevel="0" collapsed="false">
      <c r="A318" s="2" t="s">
        <v>50</v>
      </c>
      <c r="B318" s="2" t="s">
        <v>381</v>
      </c>
      <c r="C318" s="2" t="n">
        <v>27</v>
      </c>
      <c r="D318" s="2" t="s">
        <v>37</v>
      </c>
      <c r="E318" s="2" t="s">
        <v>408</v>
      </c>
      <c r="F318" s="6" t="n">
        <f aca="false">COUNTIF(dados!$I$2:$I$1028,E318)</f>
        <v>1</v>
      </c>
      <c r="G318" s="10" t="n">
        <f aca="false">SUMIFS(dados!$M$2:$M$1028,dados!$I$2:$I$1028,E318)</f>
        <v>0.0367966228428462</v>
      </c>
      <c r="H318" s="7" t="n">
        <f aca="false">SQRT(G318*40000/PI())</f>
        <v>21.6450722604978</v>
      </c>
      <c r="I318" s="11" t="n">
        <f aca="false">_xlfn.MAXIFS(dados!$N$2:$N$1028,dados!$I$2:$I$1028,E318)</f>
        <v>15</v>
      </c>
      <c r="J318" s="3"/>
      <c r="K318" s="3"/>
    </row>
    <row r="319" customFormat="false" ht="15" hidden="false" customHeight="false" outlineLevel="0" collapsed="false">
      <c r="A319" s="2" t="s">
        <v>50</v>
      </c>
      <c r="B319" s="2" t="s">
        <v>381</v>
      </c>
      <c r="C319" s="2" t="n">
        <v>28</v>
      </c>
      <c r="D319" s="2" t="s">
        <v>37</v>
      </c>
      <c r="E319" s="2" t="s">
        <v>409</v>
      </c>
      <c r="F319" s="6" t="n">
        <f aca="false">COUNTIF(dados!$I$2:$I$1028,E319)</f>
        <v>1</v>
      </c>
      <c r="G319" s="10" t="n">
        <f aca="false">SUMIFS(dados!$M$2:$M$1028,dados!$I$2:$I$1028,E319)</f>
        <v>0.0877341623794073</v>
      </c>
      <c r="H319" s="7" t="n">
        <f aca="false">SQRT(G319*40000/PI())</f>
        <v>33.422538049298</v>
      </c>
      <c r="I319" s="11" t="n">
        <f aca="false">_xlfn.MAXIFS(dados!$N$2:$N$1028,dados!$I$2:$I$1028,E319)</f>
        <v>22</v>
      </c>
      <c r="J319" s="3"/>
      <c r="K319" s="3"/>
    </row>
    <row r="320" customFormat="false" ht="15" hidden="false" customHeight="false" outlineLevel="0" collapsed="false">
      <c r="A320" s="2" t="s">
        <v>50</v>
      </c>
      <c r="B320" s="2" t="s">
        <v>381</v>
      </c>
      <c r="C320" s="2" t="n">
        <v>29</v>
      </c>
      <c r="D320" s="2" t="s">
        <v>37</v>
      </c>
      <c r="E320" s="2" t="s">
        <v>410</v>
      </c>
      <c r="F320" s="6" t="n">
        <f aca="false">COUNTIF(dados!$I$2:$I$1028,E320)</f>
        <v>1</v>
      </c>
      <c r="G320" s="10" t="n">
        <f aca="false">SUMIFS(dados!$M$2:$M$1028,dados!$I$2:$I$1028,E320)</f>
        <v>0.0062388737692023</v>
      </c>
      <c r="H320" s="7" t="n">
        <f aca="false">SQRT(G320*40000/PI())</f>
        <v>8.91267681314614</v>
      </c>
      <c r="I320" s="11" t="n">
        <f aca="false">_xlfn.MAXIFS(dados!$N$2:$N$1028,dados!$I$2:$I$1028,E320)</f>
        <v>8</v>
      </c>
      <c r="J320" s="3"/>
      <c r="K320" s="3"/>
    </row>
    <row r="321" customFormat="false" ht="15" hidden="false" customHeight="false" outlineLevel="0" collapsed="false">
      <c r="A321" s="2" t="s">
        <v>50</v>
      </c>
      <c r="B321" s="2" t="s">
        <v>381</v>
      </c>
      <c r="C321" s="2" t="n">
        <v>30</v>
      </c>
      <c r="D321" s="2" t="s">
        <v>52</v>
      </c>
      <c r="E321" s="2" t="s">
        <v>411</v>
      </c>
      <c r="F321" s="6" t="n">
        <f aca="false">COUNTIF(dados!$I$2:$I$1028,E321)</f>
        <v>1</v>
      </c>
      <c r="G321" s="10" t="n">
        <f aca="false">SUMIFS(dados!$M$2:$M$1028,dados!$I$2:$I$1028,E321)</f>
        <v>0.0127323954473516</v>
      </c>
      <c r="H321" s="7" t="n">
        <f aca="false">SQRT(G321*40000/PI())</f>
        <v>12.7323954473516</v>
      </c>
      <c r="I321" s="11" t="n">
        <f aca="false">_xlfn.MAXIFS(dados!$N$2:$N$1028,dados!$I$2:$I$1028,E321)</f>
        <v>12</v>
      </c>
      <c r="J321" s="3"/>
      <c r="K321" s="3"/>
    </row>
    <row r="322" customFormat="false" ht="15" hidden="false" customHeight="false" outlineLevel="0" collapsed="false">
      <c r="A322" s="2" t="s">
        <v>50</v>
      </c>
      <c r="B322" s="2" t="s">
        <v>381</v>
      </c>
      <c r="C322" s="2" t="n">
        <v>31</v>
      </c>
      <c r="D322" s="2" t="s">
        <v>52</v>
      </c>
      <c r="E322" s="2" t="s">
        <v>412</v>
      </c>
      <c r="F322" s="6" t="n">
        <f aca="false">COUNTIF(dados!$I$2:$I$1028,E322)</f>
        <v>1</v>
      </c>
      <c r="G322" s="10" t="n">
        <f aca="false">SUMIFS(dados!$M$2:$M$1028,dados!$I$2:$I$1028,E322)</f>
        <v>0.00814873308630504</v>
      </c>
      <c r="H322" s="7" t="n">
        <f aca="false">SQRT(G322*40000/PI())</f>
        <v>10.1859163578813</v>
      </c>
      <c r="I322" s="11" t="n">
        <f aca="false">_xlfn.MAXIFS(dados!$N$2:$N$1028,dados!$I$2:$I$1028,E322)</f>
        <v>10</v>
      </c>
      <c r="J322" s="3"/>
      <c r="K322" s="3"/>
    </row>
    <row r="323" customFormat="false" ht="15" hidden="false" customHeight="false" outlineLevel="0" collapsed="false">
      <c r="A323" s="2" t="s">
        <v>50</v>
      </c>
      <c r="B323" s="2" t="s">
        <v>381</v>
      </c>
      <c r="C323" s="2" t="n">
        <v>32</v>
      </c>
      <c r="D323" s="2" t="s">
        <v>52</v>
      </c>
      <c r="E323" s="2" t="s">
        <v>413</v>
      </c>
      <c r="F323" s="6" t="n">
        <f aca="false">COUNTIF(dados!$I$2:$I$1028,E323)</f>
        <v>1</v>
      </c>
      <c r="G323" s="10" t="n">
        <f aca="false">SUMIFS(dados!$M$2:$M$1028,dados!$I$2:$I$1028,E323)</f>
        <v>0.00716197243913529</v>
      </c>
      <c r="H323" s="7" t="n">
        <f aca="false">SQRT(G323*40000/PI())</f>
        <v>9.54929658551372</v>
      </c>
      <c r="I323" s="11" t="n">
        <f aca="false">_xlfn.MAXIFS(dados!$N$2:$N$1028,dados!$I$2:$I$1028,E323)</f>
        <v>9</v>
      </c>
      <c r="J323" s="3"/>
      <c r="K323" s="3"/>
    </row>
    <row r="324" customFormat="false" ht="15" hidden="false" customHeight="false" outlineLevel="0" collapsed="false">
      <c r="A324" s="2" t="s">
        <v>50</v>
      </c>
      <c r="B324" s="2" t="s">
        <v>381</v>
      </c>
      <c r="C324" s="2" t="n">
        <v>33</v>
      </c>
      <c r="D324" s="2" t="s">
        <v>37</v>
      </c>
      <c r="E324" s="2" t="s">
        <v>414</v>
      </c>
      <c r="F324" s="6" t="n">
        <f aca="false">COUNTIF(dados!$I$2:$I$1028,E324)</f>
        <v>1</v>
      </c>
      <c r="G324" s="10" t="n">
        <f aca="false">SUMIFS(dados!$M$2:$M$1028,dados!$I$2:$I$1028,E324)</f>
        <v>0.0325949323452202</v>
      </c>
      <c r="H324" s="7" t="n">
        <f aca="false">SQRT(G324*40000/PI())</f>
        <v>20.3718327157626</v>
      </c>
      <c r="I324" s="11" t="n">
        <f aca="false">_xlfn.MAXIFS(dados!$N$2:$N$1028,dados!$I$2:$I$1028,E324)</f>
        <v>15</v>
      </c>
      <c r="J324" s="3"/>
      <c r="K324" s="3"/>
    </row>
    <row r="325" customFormat="false" ht="15" hidden="false" customHeight="false" outlineLevel="0" collapsed="false">
      <c r="A325" s="2" t="s">
        <v>50</v>
      </c>
      <c r="B325" s="2" t="s">
        <v>381</v>
      </c>
      <c r="C325" s="2" t="n">
        <v>34</v>
      </c>
      <c r="D325" s="2" t="s">
        <v>52</v>
      </c>
      <c r="E325" s="2" t="s">
        <v>415</v>
      </c>
      <c r="F325" s="6" t="n">
        <f aca="false">COUNTIF(dados!$I$2:$I$1028,E325)</f>
        <v>1</v>
      </c>
      <c r="G325" s="10" t="n">
        <f aca="false">SUMIFS(dados!$M$2:$M$1028,dados!$I$2:$I$1028,E325)</f>
        <v>0.00497359197162173</v>
      </c>
      <c r="H325" s="7" t="n">
        <f aca="false">SQRT(G325*40000/PI())</f>
        <v>7.95774715459477</v>
      </c>
      <c r="I325" s="11" t="n">
        <f aca="false">_xlfn.MAXIFS(dados!$N$2:$N$1028,dados!$I$2:$I$1028,E325)</f>
        <v>7</v>
      </c>
      <c r="J325" s="3"/>
      <c r="K325" s="3"/>
    </row>
    <row r="326" customFormat="false" ht="15" hidden="false" customHeight="false" outlineLevel="0" collapsed="false">
      <c r="A326" s="2" t="s">
        <v>50</v>
      </c>
      <c r="B326" s="2" t="s">
        <v>381</v>
      </c>
      <c r="C326" s="2" t="n">
        <v>35</v>
      </c>
      <c r="D326" s="2" t="s">
        <v>56</v>
      </c>
      <c r="E326" s="2" t="s">
        <v>416</v>
      </c>
      <c r="F326" s="6" t="n">
        <f aca="false">COUNTIF(dados!$I$2:$I$1028,E326)</f>
        <v>1</v>
      </c>
      <c r="G326" s="10" t="n">
        <f aca="false">SUMIFS(dados!$M$2:$M$1028,dados!$I$2:$I$1028,E326)</f>
        <v>0.0198943678864869</v>
      </c>
      <c r="H326" s="7" t="n">
        <f aca="false">SQRT(G326*40000/PI())</f>
        <v>15.9154943091895</v>
      </c>
      <c r="I326" s="11" t="n">
        <f aca="false">_xlfn.MAXIFS(dados!$N$2:$N$1028,dados!$I$2:$I$1028,E326)</f>
        <v>11</v>
      </c>
      <c r="J326" s="3"/>
      <c r="K326" s="3"/>
    </row>
    <row r="327" customFormat="false" ht="15" hidden="false" customHeight="false" outlineLevel="0" collapsed="false">
      <c r="A327" s="2" t="s">
        <v>50</v>
      </c>
      <c r="B327" s="2" t="s">
        <v>381</v>
      </c>
      <c r="C327" s="2" t="n">
        <v>36</v>
      </c>
      <c r="D327" s="2" t="s">
        <v>37</v>
      </c>
      <c r="E327" s="2" t="s">
        <v>417</v>
      </c>
      <c r="F327" s="6" t="n">
        <f aca="false">COUNTIF(dados!$I$2:$I$1028,E327)</f>
        <v>1</v>
      </c>
      <c r="G327" s="10" t="n">
        <f aca="false">SUMIFS(dados!$M$2:$M$1028,dados!$I$2:$I$1028,E327)</f>
        <v>0.0412529612494193</v>
      </c>
      <c r="H327" s="7" t="n">
        <f aca="false">SQRT(G327*40000/PI())</f>
        <v>22.9183118052329</v>
      </c>
      <c r="I327" s="11" t="n">
        <f aca="false">_xlfn.MAXIFS(dados!$N$2:$N$1028,dados!$I$2:$I$1028,E327)</f>
        <v>14</v>
      </c>
      <c r="J327" s="3"/>
      <c r="K327" s="3"/>
    </row>
    <row r="328" customFormat="false" ht="15" hidden="false" customHeight="false" outlineLevel="0" collapsed="false">
      <c r="A328" s="2" t="s">
        <v>50</v>
      </c>
      <c r="B328" s="2" t="s">
        <v>381</v>
      </c>
      <c r="C328" s="2" t="n">
        <v>37</v>
      </c>
      <c r="D328" s="2" t="s">
        <v>37</v>
      </c>
      <c r="E328" s="2" t="s">
        <v>418</v>
      </c>
      <c r="F328" s="6" t="n">
        <f aca="false">COUNTIF(dados!$I$2:$I$1028,E328)</f>
        <v>1</v>
      </c>
      <c r="G328" s="10" t="n">
        <f aca="false">SUMIFS(dados!$M$2:$M$1028,dados!$I$2:$I$1028,E328)</f>
        <v>0.0154061984912955</v>
      </c>
      <c r="H328" s="7" t="n">
        <f aca="false">SQRT(G328*40000/PI())</f>
        <v>14.0056349920868</v>
      </c>
      <c r="I328" s="11" t="n">
        <f aca="false">_xlfn.MAXIFS(dados!$N$2:$N$1028,dados!$I$2:$I$1028,E328)</f>
        <v>10</v>
      </c>
      <c r="J328" s="3"/>
      <c r="K328" s="3"/>
    </row>
    <row r="329" customFormat="false" ht="15" hidden="false" customHeight="false" outlineLevel="0" collapsed="false">
      <c r="A329" s="2" t="s">
        <v>50</v>
      </c>
      <c r="B329" s="2" t="s">
        <v>381</v>
      </c>
      <c r="C329" s="2" t="n">
        <v>38</v>
      </c>
      <c r="D329" s="2" t="s">
        <v>57</v>
      </c>
      <c r="E329" s="2" t="s">
        <v>419</v>
      </c>
      <c r="F329" s="6" t="n">
        <f aca="false">COUNTIF(dados!$I$2:$I$1028,E329)</f>
        <v>1</v>
      </c>
      <c r="G329" s="10" t="n">
        <f aca="false">SUMIFS(dados!$M$2:$M$1028,dados!$I$2:$I$1028,E329)</f>
        <v>0.0240721851426492</v>
      </c>
      <c r="H329" s="7" t="n">
        <f aca="false">SQRT(G329*40000/PI())</f>
        <v>17.5070437401085</v>
      </c>
      <c r="I329" s="11" t="n">
        <f aca="false">_xlfn.MAXIFS(dados!$N$2:$N$1028,dados!$I$2:$I$1028,E329)</f>
        <v>13</v>
      </c>
      <c r="J329" s="3"/>
      <c r="K329" s="3"/>
    </row>
    <row r="330" customFormat="false" ht="15" hidden="false" customHeight="false" outlineLevel="0" collapsed="false">
      <c r="A330" s="2" t="s">
        <v>50</v>
      </c>
      <c r="B330" s="2" t="s">
        <v>381</v>
      </c>
      <c r="C330" s="2" t="n">
        <v>39</v>
      </c>
      <c r="D330" s="2" t="s">
        <v>37</v>
      </c>
      <c r="E330" s="2" t="s">
        <v>420</v>
      </c>
      <c r="F330" s="6" t="n">
        <f aca="false">COUNTIF(dados!$I$2:$I$1028,E330)</f>
        <v>1</v>
      </c>
      <c r="G330" s="10" t="n">
        <f aca="false">SUMIFS(dados!$M$2:$M$1028,dados!$I$2:$I$1028,E330)</f>
        <v>0.0305895800622623</v>
      </c>
      <c r="H330" s="7" t="n">
        <f aca="false">SQRT(G330*40000/PI())</f>
        <v>19.735212943395</v>
      </c>
      <c r="I330" s="11" t="n">
        <f aca="false">_xlfn.MAXIFS(dados!$N$2:$N$1028,dados!$I$2:$I$1028,E330)</f>
        <v>16</v>
      </c>
      <c r="J330" s="3"/>
      <c r="K330" s="3"/>
    </row>
    <row r="331" customFormat="false" ht="15" hidden="false" customHeight="false" outlineLevel="0" collapsed="false">
      <c r="A331" s="2" t="s">
        <v>50</v>
      </c>
      <c r="B331" s="2" t="s">
        <v>381</v>
      </c>
      <c r="C331" s="2" t="n">
        <v>40</v>
      </c>
      <c r="D331" s="2" t="s">
        <v>52</v>
      </c>
      <c r="E331" s="2" t="s">
        <v>421</v>
      </c>
      <c r="F331" s="6" t="n">
        <f aca="false">COUNTIF(dados!$I$2:$I$1028,E331)</f>
        <v>1</v>
      </c>
      <c r="G331" s="10" t="n">
        <f aca="false">SUMIFS(dados!$M$2:$M$1028,dados!$I$2:$I$1028,E331)</f>
        <v>0.00318309886183791</v>
      </c>
      <c r="H331" s="7" t="n">
        <f aca="false">SQRT(G331*40000/PI())</f>
        <v>6.36619772367581</v>
      </c>
      <c r="I331" s="11" t="n">
        <f aca="false">_xlfn.MAXIFS(dados!$N$2:$N$1028,dados!$I$2:$I$1028,E331)</f>
        <v>7</v>
      </c>
      <c r="J331" s="3"/>
      <c r="K331" s="3"/>
    </row>
    <row r="332" customFormat="false" ht="15" hidden="false" customHeight="false" outlineLevel="0" collapsed="false">
      <c r="A332" s="2" t="s">
        <v>50</v>
      </c>
      <c r="B332" s="2" t="s">
        <v>422</v>
      </c>
      <c r="C332" s="2" t="n">
        <v>41</v>
      </c>
      <c r="D332" s="2" t="s">
        <v>37</v>
      </c>
      <c r="E332" s="2" t="s">
        <v>423</v>
      </c>
      <c r="F332" s="6" t="n">
        <f aca="false">COUNTIF(dados!$I$2:$I$1028,E332)</f>
        <v>1</v>
      </c>
      <c r="G332" s="10" t="n">
        <f aca="false">SUMIFS(dados!$M$2:$M$1028,dados!$I$2:$I$1028,E332)</f>
        <v>0.00919915571071155</v>
      </c>
      <c r="H332" s="7" t="n">
        <f aca="false">SQRT(G332*40000/PI())</f>
        <v>10.8225361302489</v>
      </c>
      <c r="I332" s="11" t="n">
        <f aca="false">_xlfn.MAXIFS(dados!$N$2:$N$1028,dados!$I$2:$I$1028,E332)</f>
        <v>10</v>
      </c>
      <c r="J332" s="3"/>
      <c r="K332" s="3"/>
    </row>
    <row r="333" customFormat="false" ht="15" hidden="false" customHeight="false" outlineLevel="0" collapsed="false">
      <c r="A333" s="2" t="s">
        <v>50</v>
      </c>
      <c r="B333" s="2" t="s">
        <v>422</v>
      </c>
      <c r="C333" s="2" t="n">
        <v>42</v>
      </c>
      <c r="D333" s="2" t="s">
        <v>52</v>
      </c>
      <c r="E333" s="2" t="s">
        <v>424</v>
      </c>
      <c r="F333" s="6" t="n">
        <f aca="false">COUNTIF(dados!$I$2:$I$1028,E333)</f>
        <v>1</v>
      </c>
      <c r="G333" s="10" t="n">
        <f aca="false">SUMIFS(dados!$M$2:$M$1028,dados!$I$2:$I$1028,E333)</f>
        <v>0.00764739501556557</v>
      </c>
      <c r="H333" s="7" t="n">
        <f aca="false">SQRT(G333*40000/PI())</f>
        <v>9.86760647169751</v>
      </c>
      <c r="I333" s="11" t="n">
        <f aca="false">_xlfn.MAXIFS(dados!$N$2:$N$1028,dados!$I$2:$I$1028,E333)</f>
        <v>9</v>
      </c>
      <c r="J333" s="3"/>
      <c r="K333" s="3"/>
    </row>
    <row r="334" customFormat="false" ht="15" hidden="false" customHeight="false" outlineLevel="0" collapsed="false">
      <c r="A334" s="2" t="s">
        <v>50</v>
      </c>
      <c r="B334" s="2" t="s">
        <v>422</v>
      </c>
      <c r="C334" s="2" t="n">
        <v>43</v>
      </c>
      <c r="D334" s="2" t="s">
        <v>52</v>
      </c>
      <c r="E334" s="2" t="s">
        <v>425</v>
      </c>
      <c r="F334" s="6" t="n">
        <f aca="false">COUNTIF(dados!$I$2:$I$1028,E334)</f>
        <v>1</v>
      </c>
      <c r="G334" s="10" t="n">
        <f aca="false">SUMIFS(dados!$M$2:$M$1028,dados!$I$2:$I$1028,E334)</f>
        <v>0.0140374659807052</v>
      </c>
      <c r="H334" s="7" t="n">
        <f aca="false">SQRT(G334*40000/PI())</f>
        <v>13.3690152197192</v>
      </c>
      <c r="I334" s="11" t="n">
        <f aca="false">_xlfn.MAXIFS(dados!$N$2:$N$1028,dados!$I$2:$I$1028,E334)</f>
        <v>16</v>
      </c>
      <c r="J334" s="3"/>
      <c r="K334" s="3"/>
    </row>
    <row r="335" customFormat="false" ht="15" hidden="false" customHeight="false" outlineLevel="0" collapsed="false">
      <c r="A335" s="2" t="s">
        <v>50</v>
      </c>
      <c r="B335" s="2" t="s">
        <v>422</v>
      </c>
      <c r="C335" s="2" t="n">
        <v>44</v>
      </c>
      <c r="D335" s="2" t="s">
        <v>58</v>
      </c>
      <c r="E335" s="2" t="s">
        <v>426</v>
      </c>
      <c r="F335" s="6" t="n">
        <f aca="false">COUNTIF(dados!$I$2:$I$1028,E335)</f>
        <v>1</v>
      </c>
      <c r="G335" s="10" t="n">
        <f aca="false">SUMIFS(dados!$M$2:$M$1028,dados!$I$2:$I$1028,E335)</f>
        <v>0.0114909868912348</v>
      </c>
      <c r="H335" s="7" t="n">
        <f aca="false">SQRT(G335*40000/PI())</f>
        <v>12.095775674984</v>
      </c>
      <c r="I335" s="11" t="n">
        <f aca="false">_xlfn.MAXIFS(dados!$N$2:$N$1028,dados!$I$2:$I$1028,E335)</f>
        <v>15</v>
      </c>
      <c r="J335" s="3"/>
      <c r="K335" s="3"/>
    </row>
    <row r="336" customFormat="false" ht="15" hidden="false" customHeight="false" outlineLevel="0" collapsed="false">
      <c r="A336" s="2" t="s">
        <v>50</v>
      </c>
      <c r="B336" s="2" t="s">
        <v>422</v>
      </c>
      <c r="C336" s="2" t="n">
        <v>45</v>
      </c>
      <c r="D336" s="2" t="s">
        <v>37</v>
      </c>
      <c r="E336" s="2" t="s">
        <v>427</v>
      </c>
      <c r="F336" s="6" t="n">
        <f aca="false">COUNTIF(dados!$I$2:$I$1028,E336)</f>
        <v>1</v>
      </c>
      <c r="G336" s="10" t="n">
        <f aca="false">SUMIFS(dados!$M$2:$M$1028,dados!$I$2:$I$1028,E336)</f>
        <v>0.0522107790812963</v>
      </c>
      <c r="H336" s="7" t="n">
        <f aca="false">SQRT(G336*40000/PI())</f>
        <v>25.783100780887</v>
      </c>
      <c r="I336" s="11" t="n">
        <f aca="false">_xlfn.MAXIFS(dados!$N$2:$N$1028,dados!$I$2:$I$1028,E336)</f>
        <v>12</v>
      </c>
      <c r="J336" s="3"/>
      <c r="K336" s="3"/>
    </row>
    <row r="337" customFormat="false" ht="15" hidden="false" customHeight="false" outlineLevel="0" collapsed="false">
      <c r="A337" s="2" t="s">
        <v>50</v>
      </c>
      <c r="B337" s="2" t="s">
        <v>422</v>
      </c>
      <c r="C337" s="2" t="n">
        <v>46</v>
      </c>
      <c r="D337" s="2" t="s">
        <v>59</v>
      </c>
      <c r="E337" s="2" t="s">
        <v>428</v>
      </c>
      <c r="F337" s="6" t="n">
        <f aca="false">COUNTIF(dados!$I$2:$I$1028,E337)</f>
        <v>1</v>
      </c>
      <c r="G337" s="10" t="n">
        <f aca="false">SUMIFS(dados!$M$2:$M$1028,dados!$I$2:$I$1028,E337)</f>
        <v>0.00229978892767789</v>
      </c>
      <c r="H337" s="7" t="n">
        <f aca="false">SQRT(G337*40000/PI())</f>
        <v>5.41126806512444</v>
      </c>
      <c r="I337" s="11" t="n">
        <f aca="false">_xlfn.MAXIFS(dados!$N$2:$N$1028,dados!$I$2:$I$1028,E337)</f>
        <v>8</v>
      </c>
      <c r="J337" s="3"/>
      <c r="K337" s="3"/>
    </row>
    <row r="338" customFormat="false" ht="15" hidden="false" customHeight="false" outlineLevel="0" collapsed="false">
      <c r="A338" s="2" t="s">
        <v>50</v>
      </c>
      <c r="B338" s="2" t="s">
        <v>422</v>
      </c>
      <c r="C338" s="2" t="n">
        <v>47</v>
      </c>
      <c r="D338" s="2" t="s">
        <v>52</v>
      </c>
      <c r="E338" s="2" t="s">
        <v>429</v>
      </c>
      <c r="F338" s="6" t="n">
        <f aca="false">COUNTIF(dados!$I$2:$I$1028,E338)</f>
        <v>1</v>
      </c>
      <c r="G338" s="10" t="n">
        <f aca="false">SUMIFS(dados!$M$2:$M$1028,dados!$I$2:$I$1028,E338)</f>
        <v>0.00716197243913529</v>
      </c>
      <c r="H338" s="7" t="n">
        <f aca="false">SQRT(G338*40000/PI())</f>
        <v>9.54929658551372</v>
      </c>
      <c r="I338" s="11" t="n">
        <f aca="false">_xlfn.MAXIFS(dados!$N$2:$N$1028,dados!$I$2:$I$1028,E338)</f>
        <v>8</v>
      </c>
      <c r="J338" s="3"/>
      <c r="K338" s="3"/>
    </row>
    <row r="339" customFormat="false" ht="15" hidden="false" customHeight="false" outlineLevel="0" collapsed="false">
      <c r="A339" s="2" t="s">
        <v>50</v>
      </c>
      <c r="B339" s="2" t="s">
        <v>422</v>
      </c>
      <c r="C339" s="2" t="n">
        <v>48</v>
      </c>
      <c r="D339" s="2" t="s">
        <v>52</v>
      </c>
      <c r="E339" s="2" t="s">
        <v>430</v>
      </c>
      <c r="F339" s="6" t="n">
        <f aca="false">COUNTIF(dados!$I$2:$I$1028,E339)</f>
        <v>1</v>
      </c>
      <c r="G339" s="10" t="n">
        <f aca="false">SUMIFS(dados!$M$2:$M$1028,dados!$I$2:$I$1028,E339)</f>
        <v>0.0025783100780887</v>
      </c>
      <c r="H339" s="7" t="n">
        <f aca="false">SQRT(G339*40000/PI())</f>
        <v>5.72957795130823</v>
      </c>
      <c r="I339" s="11" t="n">
        <f aca="false">_xlfn.MAXIFS(dados!$N$2:$N$1028,dados!$I$2:$I$1028,E339)</f>
        <v>3</v>
      </c>
      <c r="J339" s="3"/>
      <c r="K339" s="3"/>
    </row>
    <row r="340" customFormat="false" ht="15" hidden="false" customHeight="false" outlineLevel="0" collapsed="false">
      <c r="A340" s="2" t="s">
        <v>50</v>
      </c>
      <c r="B340" s="2" t="s">
        <v>422</v>
      </c>
      <c r="C340" s="2" t="n">
        <v>49</v>
      </c>
      <c r="D340" s="2" t="s">
        <v>37</v>
      </c>
      <c r="E340" s="2" t="s">
        <v>431</v>
      </c>
      <c r="F340" s="6" t="n">
        <f aca="false">COUNTIF(dados!$I$2:$I$1028,E340)</f>
        <v>1</v>
      </c>
      <c r="G340" s="10" t="n">
        <f aca="false">SUMIFS(dados!$M$2:$M$1028,dados!$I$2:$I$1028,E340)</f>
        <v>0.0296107771622471</v>
      </c>
      <c r="H340" s="7" t="n">
        <f aca="false">SQRT(G340*40000/PI())</f>
        <v>19.4169030572112</v>
      </c>
      <c r="I340" s="11" t="n">
        <f aca="false">_xlfn.MAXIFS(dados!$N$2:$N$1028,dados!$I$2:$I$1028,E340)</f>
        <v>18</v>
      </c>
      <c r="J340" s="3"/>
      <c r="K340" s="3"/>
    </row>
    <row r="341" customFormat="false" ht="15" hidden="false" customHeight="false" outlineLevel="0" collapsed="false">
      <c r="A341" s="2" t="s">
        <v>50</v>
      </c>
      <c r="B341" s="2" t="s">
        <v>422</v>
      </c>
      <c r="C341" s="2" t="n">
        <v>50</v>
      </c>
      <c r="D341" s="2" t="s">
        <v>52</v>
      </c>
      <c r="E341" s="2" t="s">
        <v>432</v>
      </c>
      <c r="F341" s="6" t="n">
        <f aca="false">COUNTIF(dados!$I$2:$I$1028,E341)</f>
        <v>1</v>
      </c>
      <c r="G341" s="10" t="n">
        <f aca="false">SUMIFS(dados!$M$2:$M$1028,dados!$I$2:$I$1028,E341)</f>
        <v>0.00458366236104659</v>
      </c>
      <c r="H341" s="7" t="n">
        <f aca="false">SQRT(G341*40000/PI())</f>
        <v>7.63943726841098</v>
      </c>
      <c r="I341" s="11" t="n">
        <f aca="false">_xlfn.MAXIFS(dados!$N$2:$N$1028,dados!$I$2:$I$1028,E341)</f>
        <v>9</v>
      </c>
      <c r="J341" s="3"/>
      <c r="K341" s="3"/>
    </row>
    <row r="342" customFormat="false" ht="15" hidden="false" customHeight="false" outlineLevel="0" collapsed="false">
      <c r="A342" s="2" t="s">
        <v>50</v>
      </c>
      <c r="B342" s="2" t="s">
        <v>422</v>
      </c>
      <c r="C342" s="2" t="n">
        <v>51</v>
      </c>
      <c r="D342" s="2" t="s">
        <v>37</v>
      </c>
      <c r="E342" s="2" t="s">
        <v>433</v>
      </c>
      <c r="F342" s="6" t="n">
        <f aca="false">COUNTIF(dados!$I$2:$I$1028,E342)</f>
        <v>4</v>
      </c>
      <c r="G342" s="10" t="n">
        <f aca="false">SUMIFS(dados!$M$2:$M$1028,dados!$I$2:$I$1028,E342)</f>
        <v>0.0670440197774609</v>
      </c>
      <c r="H342" s="7" t="n">
        <f aca="false">SQRT(G342*40000/PI())</f>
        <v>29.2169637742647</v>
      </c>
      <c r="I342" s="11" t="n">
        <f aca="false">_xlfn.MAXIFS(dados!$N$2:$N$1028,dados!$I$2:$I$1028,E342)</f>
        <v>17</v>
      </c>
      <c r="J342" s="3"/>
      <c r="K342" s="3"/>
    </row>
    <row r="343" customFormat="false" ht="15" hidden="false" customHeight="false" outlineLevel="0" collapsed="false">
      <c r="A343" s="2" t="s">
        <v>50</v>
      </c>
      <c r="B343" s="2" t="s">
        <v>422</v>
      </c>
      <c r="C343" s="2" t="n">
        <v>52</v>
      </c>
      <c r="D343" s="2" t="s">
        <v>37</v>
      </c>
      <c r="E343" s="2" t="s">
        <v>434</v>
      </c>
      <c r="F343" s="6" t="n">
        <f aca="false">COUNTIF(dados!$I$2:$I$1028,E343)</f>
        <v>1</v>
      </c>
      <c r="G343" s="10" t="n">
        <f aca="false">SUMIFS(dados!$M$2:$M$1028,dados!$I$2:$I$1028,E343)</f>
        <v>0.00716197243913529</v>
      </c>
      <c r="H343" s="7" t="n">
        <f aca="false">SQRT(G343*40000/PI())</f>
        <v>9.54929658551372</v>
      </c>
      <c r="I343" s="11" t="n">
        <f aca="false">_xlfn.MAXIFS(dados!$N$2:$N$1028,dados!$I$2:$I$1028,E343)</f>
        <v>7</v>
      </c>
      <c r="J343" s="3"/>
      <c r="K343" s="3"/>
    </row>
    <row r="344" customFormat="false" ht="15" hidden="false" customHeight="false" outlineLevel="0" collapsed="false">
      <c r="A344" s="2" t="s">
        <v>50</v>
      </c>
      <c r="B344" s="2" t="s">
        <v>422</v>
      </c>
      <c r="C344" s="2" t="n">
        <v>53</v>
      </c>
      <c r="D344" s="2" t="s">
        <v>37</v>
      </c>
      <c r="E344" s="2" t="s">
        <v>435</v>
      </c>
      <c r="F344" s="6" t="n">
        <f aca="false">COUNTIF(dados!$I$2:$I$1028,E344)</f>
        <v>3</v>
      </c>
      <c r="G344" s="10" t="n">
        <f aca="false">SUMIFS(dados!$M$2:$M$1028,dados!$I$2:$I$1028,E344)</f>
        <v>0.0640678223416425</v>
      </c>
      <c r="H344" s="7" t="n">
        <f aca="false">SQRT(G344*40000/PI())</f>
        <v>28.5611072877867</v>
      </c>
      <c r="I344" s="11" t="n">
        <f aca="false">_xlfn.MAXIFS(dados!$N$2:$N$1028,dados!$I$2:$I$1028,E344)</f>
        <v>12</v>
      </c>
      <c r="J344" s="3"/>
      <c r="K344" s="3"/>
    </row>
    <row r="345" customFormat="false" ht="15" hidden="false" customHeight="false" outlineLevel="0" collapsed="false">
      <c r="A345" s="2" t="s">
        <v>50</v>
      </c>
      <c r="B345" s="2" t="s">
        <v>422</v>
      </c>
      <c r="C345" s="2" t="n">
        <v>54</v>
      </c>
      <c r="D345" s="2" t="s">
        <v>53</v>
      </c>
      <c r="E345" s="2" t="s">
        <v>436</v>
      </c>
      <c r="F345" s="6" t="n">
        <f aca="false">COUNTIF(dados!$I$2:$I$1028,E345)</f>
        <v>1</v>
      </c>
      <c r="G345" s="10" t="n">
        <f aca="false">SUMIFS(dados!$M$2:$M$1028,dados!$I$2:$I$1028,E345)</f>
        <v>0.0315842984565866</v>
      </c>
      <c r="H345" s="7" t="n">
        <f aca="false">SQRT(G345*40000/PI())</f>
        <v>20.0535228295788</v>
      </c>
      <c r="I345" s="11" t="n">
        <f aca="false">_xlfn.MAXIFS(dados!$N$2:$N$1028,dados!$I$2:$I$1028,E345)</f>
        <v>11</v>
      </c>
      <c r="J345" s="3"/>
      <c r="K345" s="3"/>
    </row>
    <row r="346" customFormat="false" ht="15" hidden="false" customHeight="false" outlineLevel="0" collapsed="false">
      <c r="A346" s="2" t="s">
        <v>50</v>
      </c>
      <c r="B346" s="2" t="s">
        <v>422</v>
      </c>
      <c r="C346" s="2" t="n">
        <v>55</v>
      </c>
      <c r="D346" s="2" t="s">
        <v>52</v>
      </c>
      <c r="E346" s="2" t="s">
        <v>437</v>
      </c>
      <c r="F346" s="6" t="n">
        <f aca="false">COUNTIF(dados!$I$2:$I$1028,E346)</f>
        <v>1</v>
      </c>
      <c r="G346" s="10" t="n">
        <f aca="false">SUMIFS(dados!$M$2:$M$1028,dados!$I$2:$I$1028,E346)</f>
        <v>0.0108941558546402</v>
      </c>
      <c r="H346" s="7" t="n">
        <f aca="false">SQRT(G346*40000/PI())</f>
        <v>11.7774657888003</v>
      </c>
      <c r="I346" s="11" t="n">
        <f aca="false">_xlfn.MAXIFS(dados!$N$2:$N$1028,dados!$I$2:$I$1028,E346)</f>
        <v>12</v>
      </c>
      <c r="J346" s="3"/>
      <c r="K346" s="3"/>
    </row>
    <row r="347" customFormat="false" ht="15" hidden="false" customHeight="false" outlineLevel="0" collapsed="false">
      <c r="A347" s="2" t="s">
        <v>50</v>
      </c>
      <c r="B347" s="2" t="s">
        <v>422</v>
      </c>
      <c r="C347" s="2" t="n">
        <v>56</v>
      </c>
      <c r="D347" s="2" t="s">
        <v>52</v>
      </c>
      <c r="E347" s="2" t="s">
        <v>438</v>
      </c>
      <c r="F347" s="6" t="n">
        <f aca="false">COUNTIF(dados!$I$2:$I$1028,E347)</f>
        <v>1</v>
      </c>
      <c r="G347" s="10" t="n">
        <f aca="false">SUMIFS(dados!$M$2:$M$1028,dados!$I$2:$I$1028,E347)</f>
        <v>0.0086659866513537</v>
      </c>
      <c r="H347" s="7" t="n">
        <f aca="false">SQRT(G347*40000/PI())</f>
        <v>10.5042262440651</v>
      </c>
      <c r="I347" s="11" t="n">
        <f aca="false">_xlfn.MAXIFS(dados!$N$2:$N$1028,dados!$I$2:$I$1028,E347)</f>
        <v>15</v>
      </c>
      <c r="J347" s="3"/>
      <c r="K347" s="3"/>
    </row>
    <row r="348" customFormat="false" ht="15" hidden="false" customHeight="false" outlineLevel="0" collapsed="false">
      <c r="A348" s="2" t="s">
        <v>50</v>
      </c>
      <c r="B348" s="2" t="s">
        <v>422</v>
      </c>
      <c r="C348" s="2" t="n">
        <v>57</v>
      </c>
      <c r="D348" s="2" t="s">
        <v>60</v>
      </c>
      <c r="E348" s="2" t="s">
        <v>439</v>
      </c>
      <c r="F348" s="6" t="n">
        <f aca="false">COUNTIF(dados!$I$2:$I$1028,E348)</f>
        <v>1</v>
      </c>
      <c r="G348" s="10" t="n">
        <f aca="false">SUMIFS(dados!$M$2:$M$1028,dados!$I$2:$I$1028,E348)</f>
        <v>0.0561498639228207</v>
      </c>
      <c r="H348" s="7" t="n">
        <f aca="false">SQRT(G348*40000/PI())</f>
        <v>26.7380304394384</v>
      </c>
      <c r="I348" s="11" t="n">
        <f aca="false">_xlfn.MAXIFS(dados!$N$2:$N$1028,dados!$I$2:$I$1028,E348)</f>
        <v>12</v>
      </c>
      <c r="J348" s="3"/>
      <c r="K348" s="3"/>
    </row>
    <row r="349" customFormat="false" ht="15" hidden="false" customHeight="false" outlineLevel="0" collapsed="false">
      <c r="A349" s="2" t="s">
        <v>50</v>
      </c>
      <c r="B349" s="2" t="s">
        <v>422</v>
      </c>
      <c r="C349" s="2" t="n">
        <v>58</v>
      </c>
      <c r="D349" s="2" t="s">
        <v>37</v>
      </c>
      <c r="E349" s="2" t="s">
        <v>440</v>
      </c>
      <c r="F349" s="6" t="n">
        <f aca="false">COUNTIF(dados!$I$2:$I$1028,E349)</f>
        <v>4</v>
      </c>
      <c r="G349" s="10" t="n">
        <f aca="false">SUMIFS(dados!$M$2:$M$1028,dados!$I$2:$I$1028,E349)</f>
        <v>0.113970854748106</v>
      </c>
      <c r="H349" s="7" t="n">
        <f aca="false">SQRT(G349*40000/PI())</f>
        <v>38.0935951588395</v>
      </c>
      <c r="I349" s="11" t="n">
        <f aca="false">_xlfn.MAXIFS(dados!$N$2:$N$1028,dados!$I$2:$I$1028,E349)</f>
        <v>14</v>
      </c>
      <c r="J349" s="3"/>
      <c r="K349" s="3"/>
    </row>
    <row r="350" customFormat="false" ht="15" hidden="false" customHeight="false" outlineLevel="0" collapsed="false">
      <c r="A350" s="2" t="s">
        <v>50</v>
      </c>
      <c r="B350" s="2" t="s">
        <v>422</v>
      </c>
      <c r="C350" s="2" t="n">
        <v>59</v>
      </c>
      <c r="D350" s="2" t="s">
        <v>52</v>
      </c>
      <c r="E350" s="2" t="s">
        <v>441</v>
      </c>
      <c r="F350" s="6" t="n">
        <f aca="false">COUNTIF(dados!$I$2:$I$1028,E350)</f>
        <v>1</v>
      </c>
      <c r="G350" s="10" t="n">
        <f aca="false">SUMIFS(dados!$M$2:$M$1028,dados!$I$2:$I$1028,E350)</f>
        <v>0.00537943707650606</v>
      </c>
      <c r="H350" s="7" t="n">
        <f aca="false">SQRT(G350*40000/PI())</f>
        <v>8.27605704077856</v>
      </c>
      <c r="I350" s="11" t="n">
        <f aca="false">_xlfn.MAXIFS(dados!$N$2:$N$1028,dados!$I$2:$I$1028,E350)</f>
        <v>8</v>
      </c>
      <c r="J350" s="3"/>
      <c r="K350" s="3"/>
    </row>
    <row r="351" customFormat="false" ht="15" hidden="false" customHeight="false" outlineLevel="0" collapsed="false">
      <c r="A351" s="2" t="s">
        <v>50</v>
      </c>
      <c r="B351" s="2" t="s">
        <v>422</v>
      </c>
      <c r="C351" s="2" t="n">
        <v>60</v>
      </c>
      <c r="D351" s="2" t="s">
        <v>44</v>
      </c>
      <c r="E351" s="2" t="s">
        <v>442</v>
      </c>
      <c r="F351" s="6" t="n">
        <f aca="false">COUNTIF(dados!$I$2:$I$1028,E351)</f>
        <v>4</v>
      </c>
      <c r="G351" s="10" t="n">
        <f aca="false">SUMIFS(dados!$M$2:$M$1028,dados!$I$2:$I$1028,E351)</f>
        <v>0.0414519049282841</v>
      </c>
      <c r="H351" s="7" t="n">
        <f aca="false">SQRT(G351*40000/PI())</f>
        <v>22.9735074725854</v>
      </c>
      <c r="I351" s="11" t="n">
        <f aca="false">_xlfn.MAXIFS(dados!$N$2:$N$1028,dados!$I$2:$I$1028,E351)</f>
        <v>10</v>
      </c>
      <c r="J351" s="3"/>
      <c r="K351" s="3"/>
    </row>
    <row r="352" customFormat="false" ht="15" hidden="false" customHeight="false" outlineLevel="0" collapsed="false">
      <c r="A352" s="2" t="s">
        <v>50</v>
      </c>
      <c r="B352" s="2" t="s">
        <v>422</v>
      </c>
      <c r="C352" s="2" t="n">
        <v>61</v>
      </c>
      <c r="D352" s="2" t="s">
        <v>37</v>
      </c>
      <c r="E352" s="2" t="s">
        <v>443</v>
      </c>
      <c r="F352" s="6" t="n">
        <f aca="false">COUNTIF(dados!$I$2:$I$1028,E352)</f>
        <v>2</v>
      </c>
      <c r="G352" s="10" t="n">
        <f aca="false">SUMIFS(dados!$M$2:$M$1028,dados!$I$2:$I$1028,E352)</f>
        <v>0.0789806405093531</v>
      </c>
      <c r="H352" s="7" t="n">
        <f aca="false">SQRT(G352*40000/PI())</f>
        <v>31.7113977561728</v>
      </c>
      <c r="I352" s="11" t="n">
        <f aca="false">_xlfn.MAXIFS(dados!$N$2:$N$1028,dados!$I$2:$I$1028,E352)</f>
        <v>12</v>
      </c>
      <c r="J352" s="3"/>
      <c r="K352" s="3"/>
    </row>
    <row r="353" customFormat="false" ht="15" hidden="false" customHeight="false" outlineLevel="0" collapsed="false">
      <c r="A353" s="2" t="s">
        <v>50</v>
      </c>
      <c r="B353" s="2" t="s">
        <v>422</v>
      </c>
      <c r="C353" s="2" t="n">
        <v>62</v>
      </c>
      <c r="D353" s="2" t="s">
        <v>52</v>
      </c>
      <c r="E353" s="2" t="s">
        <v>444</v>
      </c>
      <c r="F353" s="6" t="n">
        <f aca="false">COUNTIF(dados!$I$2:$I$1028,E353)</f>
        <v>1</v>
      </c>
      <c r="G353" s="10" t="n">
        <f aca="false">SUMIFS(dados!$M$2:$M$1028,dados!$I$2:$I$1028,E353)</f>
        <v>0.0062388737692023</v>
      </c>
      <c r="H353" s="7" t="n">
        <f aca="false">SQRT(G353*40000/PI())</f>
        <v>8.91267681314614</v>
      </c>
      <c r="I353" s="11" t="n">
        <f aca="false">_xlfn.MAXIFS(dados!$N$2:$N$1028,dados!$I$2:$I$1028,E353)</f>
        <v>14</v>
      </c>
      <c r="J353" s="3"/>
      <c r="K353" s="3"/>
    </row>
    <row r="354" customFormat="false" ht="15" hidden="false" customHeight="false" outlineLevel="0" collapsed="false">
      <c r="A354" s="2" t="s">
        <v>50</v>
      </c>
      <c r="B354" s="2" t="s">
        <v>422</v>
      </c>
      <c r="C354" s="2" t="n">
        <v>63</v>
      </c>
      <c r="D354" s="2" t="s">
        <v>52</v>
      </c>
      <c r="E354" s="2" t="s">
        <v>445</v>
      </c>
      <c r="F354" s="6" t="n">
        <f aca="false">COUNTIF(dados!$I$2:$I$1028,E354)</f>
        <v>1</v>
      </c>
      <c r="G354" s="10" t="n">
        <f aca="false">SUMIFS(dados!$M$2:$M$1028,dados!$I$2:$I$1028,E354)</f>
        <v>0.00580119767569958</v>
      </c>
      <c r="H354" s="7" t="n">
        <f aca="false">SQRT(G354*40000/PI())</f>
        <v>8.59436692696235</v>
      </c>
      <c r="I354" s="11" t="n">
        <f aca="false">_xlfn.MAXIFS(dados!$N$2:$N$1028,dados!$I$2:$I$1028,E354)</f>
        <v>9</v>
      </c>
      <c r="J354" s="3"/>
      <c r="K354" s="3"/>
    </row>
    <row r="355" customFormat="false" ht="15" hidden="false" customHeight="false" outlineLevel="0" collapsed="false">
      <c r="A355" s="2" t="s">
        <v>50</v>
      </c>
      <c r="B355" s="2" t="s">
        <v>422</v>
      </c>
      <c r="C355" s="2" t="n">
        <v>64</v>
      </c>
      <c r="D355" s="2" t="s">
        <v>52</v>
      </c>
      <c r="E355" s="2" t="s">
        <v>446</v>
      </c>
      <c r="F355" s="6" t="n">
        <f aca="false">COUNTIF(dados!$I$2:$I$1028,E355)</f>
        <v>1</v>
      </c>
      <c r="G355" s="10" t="n">
        <f aca="false">SUMIFS(dados!$M$2:$M$1028,dados!$I$2:$I$1028,E355)</f>
        <v>0.0062388737692023</v>
      </c>
      <c r="H355" s="7" t="n">
        <f aca="false">SQRT(G355*40000/PI())</f>
        <v>8.91267681314614</v>
      </c>
      <c r="I355" s="11" t="n">
        <f aca="false">_xlfn.MAXIFS(dados!$N$2:$N$1028,dados!$I$2:$I$1028,E355)</f>
        <v>10</v>
      </c>
      <c r="J355" s="3"/>
      <c r="K355" s="3"/>
    </row>
    <row r="356" customFormat="false" ht="15" hidden="false" customHeight="false" outlineLevel="0" collapsed="false">
      <c r="A356" s="2" t="s">
        <v>50</v>
      </c>
      <c r="B356" s="2" t="s">
        <v>422</v>
      </c>
      <c r="C356" s="2" t="n">
        <v>65</v>
      </c>
      <c r="D356" s="2" t="s">
        <v>61</v>
      </c>
      <c r="E356" s="2" t="s">
        <v>447</v>
      </c>
      <c r="F356" s="6" t="n">
        <f aca="false">COUNTIF(dados!$I$2:$I$1028,E356)</f>
        <v>1</v>
      </c>
      <c r="G356" s="10" t="n">
        <f aca="false">SUMIFS(dados!$M$2:$M$1028,dados!$I$2:$I$1028,E356)</f>
        <v>0.00420964824478063</v>
      </c>
      <c r="H356" s="7" t="n">
        <f aca="false">SQRT(G356*40000/PI())</f>
        <v>7.32112738222719</v>
      </c>
      <c r="I356" s="11" t="n">
        <f aca="false">_xlfn.MAXIFS(dados!$N$2:$N$1028,dados!$I$2:$I$1028,E356)</f>
        <v>6</v>
      </c>
      <c r="J356" s="3"/>
      <c r="K356" s="3"/>
    </row>
    <row r="357" customFormat="false" ht="15" hidden="false" customHeight="false" outlineLevel="0" collapsed="false">
      <c r="A357" s="2" t="s">
        <v>50</v>
      </c>
      <c r="B357" s="2" t="s">
        <v>422</v>
      </c>
      <c r="C357" s="2" t="n">
        <v>66</v>
      </c>
      <c r="D357" s="2" t="s">
        <v>37</v>
      </c>
      <c r="E357" s="2" t="s">
        <v>448</v>
      </c>
      <c r="F357" s="6" t="n">
        <f aca="false">COUNTIF(dados!$I$2:$I$1028,E357)</f>
        <v>1</v>
      </c>
      <c r="G357" s="10" t="n">
        <f aca="false">SUMIFS(dados!$M$2:$M$1028,dados!$I$2:$I$1028,E357)</f>
        <v>0.00458366236104659</v>
      </c>
      <c r="H357" s="7" t="n">
        <f aca="false">SQRT(G357*40000/PI())</f>
        <v>7.63943726841098</v>
      </c>
      <c r="I357" s="11" t="n">
        <f aca="false">_xlfn.MAXIFS(dados!$N$2:$N$1028,dados!$I$2:$I$1028,E357)</f>
        <v>9</v>
      </c>
      <c r="J357" s="3"/>
      <c r="K357" s="3"/>
    </row>
    <row r="358" customFormat="false" ht="15" hidden="false" customHeight="false" outlineLevel="0" collapsed="false">
      <c r="A358" s="2" t="s">
        <v>50</v>
      </c>
      <c r="B358" s="2" t="s">
        <v>422</v>
      </c>
      <c r="C358" s="2" t="n">
        <v>67</v>
      </c>
      <c r="D358" s="2" t="s">
        <v>37</v>
      </c>
      <c r="E358" s="2" t="s">
        <v>449</v>
      </c>
      <c r="F358" s="6" t="n">
        <f aca="false">COUNTIF(dados!$I$2:$I$1028,E358)</f>
        <v>2</v>
      </c>
      <c r="G358" s="10" t="n">
        <f aca="false">SUMIFS(dados!$M$2:$M$1028,dados!$I$2:$I$1028,E358)</f>
        <v>0.0439665530291361</v>
      </c>
      <c r="H358" s="7" t="n">
        <f aca="false">SQRT(G358*40000/PI())</f>
        <v>23.6600832547968</v>
      </c>
      <c r="I358" s="11" t="n">
        <f aca="false">_xlfn.MAXIFS(dados!$N$2:$N$1028,dados!$I$2:$I$1028,E358)</f>
        <v>18</v>
      </c>
      <c r="J358" s="3"/>
      <c r="K358" s="3"/>
    </row>
    <row r="359" customFormat="false" ht="15" hidden="false" customHeight="false" outlineLevel="0" collapsed="false">
      <c r="A359" s="2" t="s">
        <v>50</v>
      </c>
      <c r="B359" s="2" t="s">
        <v>422</v>
      </c>
      <c r="C359" s="2" t="n">
        <v>68</v>
      </c>
      <c r="D359" s="2" t="s">
        <v>51</v>
      </c>
      <c r="E359" s="2" t="s">
        <v>450</v>
      </c>
      <c r="F359" s="6" t="n">
        <f aca="false">COUNTIF(dados!$I$2:$I$1028,E359)</f>
        <v>1</v>
      </c>
      <c r="G359" s="10" t="n">
        <f aca="false">SUMIFS(dados!$M$2:$M$1028,dados!$I$2:$I$1028,E359)</f>
        <v>0.00287274672280871</v>
      </c>
      <c r="H359" s="7" t="n">
        <f aca="false">SQRT(G359*40000/PI())</f>
        <v>6.04788783749202</v>
      </c>
      <c r="I359" s="11" t="n">
        <f aca="false">_xlfn.MAXIFS(dados!$N$2:$N$1028,dados!$I$2:$I$1028,E359)</f>
        <v>11</v>
      </c>
      <c r="J359" s="3"/>
      <c r="K359" s="3"/>
    </row>
    <row r="360" customFormat="false" ht="15" hidden="false" customHeight="false" outlineLevel="0" collapsed="false">
      <c r="A360" s="2" t="s">
        <v>50</v>
      </c>
      <c r="B360" s="2" t="s">
        <v>422</v>
      </c>
      <c r="C360" s="2" t="n">
        <v>69</v>
      </c>
      <c r="D360" s="2" t="s">
        <v>37</v>
      </c>
      <c r="E360" s="2" t="s">
        <v>451</v>
      </c>
      <c r="F360" s="6" t="n">
        <f aca="false">COUNTIF(dados!$I$2:$I$1028,E360)</f>
        <v>3</v>
      </c>
      <c r="G360" s="10" t="n">
        <f aca="false">SUMIFS(dados!$M$2:$M$1028,dados!$I$2:$I$1028,E360)</f>
        <v>0.0187643677905345</v>
      </c>
      <c r="H360" s="7" t="n">
        <f aca="false">SQRT(G360*40000/PI())</f>
        <v>15.4568868478951</v>
      </c>
      <c r="I360" s="11" t="n">
        <f aca="false">_xlfn.MAXIFS(dados!$N$2:$N$1028,dados!$I$2:$I$1028,E360)</f>
        <v>10</v>
      </c>
      <c r="J360" s="3"/>
      <c r="K360" s="3"/>
    </row>
    <row r="361" customFormat="false" ht="15" hidden="false" customHeight="false" outlineLevel="0" collapsed="false">
      <c r="A361" s="2" t="s">
        <v>50</v>
      </c>
      <c r="B361" s="2" t="s">
        <v>422</v>
      </c>
      <c r="C361" s="2" t="n">
        <v>70</v>
      </c>
      <c r="D361" s="2" t="s">
        <v>37</v>
      </c>
      <c r="E361" s="2" t="s">
        <v>452</v>
      </c>
      <c r="F361" s="6" t="n">
        <f aca="false">COUNTIF(dados!$I$2:$I$1028,E361)</f>
        <v>1</v>
      </c>
      <c r="G361" s="10" t="n">
        <f aca="false">SUMIFS(dados!$M$2:$M$1028,dados!$I$2:$I$1028,E361)</f>
        <v>0.0161144379880544</v>
      </c>
      <c r="H361" s="7" t="n">
        <f aca="false">SQRT(G361*40000/PI())</f>
        <v>14.3239448782706</v>
      </c>
      <c r="I361" s="11" t="n">
        <f aca="false">_xlfn.MAXIFS(dados!$N$2:$N$1028,dados!$I$2:$I$1028,E361)</f>
        <v>12</v>
      </c>
      <c r="J361" s="3"/>
      <c r="K361" s="3"/>
    </row>
    <row r="362" customFormat="false" ht="15" hidden="false" customHeight="false" outlineLevel="0" collapsed="false">
      <c r="A362" s="2" t="s">
        <v>50</v>
      </c>
      <c r="B362" s="2" t="s">
        <v>422</v>
      </c>
      <c r="C362" s="2" t="n">
        <v>71</v>
      </c>
      <c r="D362" s="2" t="s">
        <v>37</v>
      </c>
      <c r="E362" s="2" t="s">
        <v>453</v>
      </c>
      <c r="F362" s="6" t="n">
        <f aca="false">COUNTIF(dados!$I$2:$I$1028,E362)</f>
        <v>1</v>
      </c>
      <c r="G362" s="10" t="n">
        <f aca="false">SUMIFS(dados!$M$2:$M$1028,dados!$I$2:$I$1028,E362)</f>
        <v>0.020698100349101</v>
      </c>
      <c r="H362" s="7" t="n">
        <f aca="false">SQRT(G362*40000/PI())</f>
        <v>16.2338041953733</v>
      </c>
      <c r="I362" s="11" t="n">
        <f aca="false">_xlfn.MAXIFS(dados!$N$2:$N$1028,dados!$I$2:$I$1028,E362)</f>
        <v>12</v>
      </c>
      <c r="J362" s="3"/>
      <c r="K362" s="3"/>
    </row>
    <row r="363" customFormat="false" ht="15" hidden="false" customHeight="false" outlineLevel="0" collapsed="false">
      <c r="A363" s="2" t="s">
        <v>50</v>
      </c>
      <c r="B363" s="2" t="s">
        <v>422</v>
      </c>
      <c r="C363" s="2" t="n">
        <v>72</v>
      </c>
      <c r="D363" s="2" t="s">
        <v>56</v>
      </c>
      <c r="E363" s="2" t="s">
        <v>454</v>
      </c>
      <c r="F363" s="6" t="n">
        <f aca="false">COUNTIF(dados!$I$2:$I$1028,E363)</f>
        <v>1</v>
      </c>
      <c r="G363" s="10" t="n">
        <f aca="false">SUMIFS(dados!$M$2:$M$1028,dados!$I$2:$I$1028,E363)</f>
        <v>0.0066924653570142</v>
      </c>
      <c r="H363" s="7" t="n">
        <f aca="false">SQRT(G363*40000/PI())</f>
        <v>9.23098669932993</v>
      </c>
      <c r="I363" s="11" t="n">
        <f aca="false">_xlfn.MAXIFS(dados!$N$2:$N$1028,dados!$I$2:$I$1028,E363)</f>
        <v>11</v>
      </c>
      <c r="J363" s="3"/>
      <c r="K363" s="3"/>
    </row>
    <row r="364" customFormat="false" ht="15" hidden="false" customHeight="false" outlineLevel="0" collapsed="false">
      <c r="A364" s="2" t="s">
        <v>50</v>
      </c>
      <c r="B364" s="2" t="s">
        <v>455</v>
      </c>
      <c r="C364" s="2" t="n">
        <v>73</v>
      </c>
      <c r="D364" s="2" t="s">
        <v>37</v>
      </c>
      <c r="E364" s="2" t="s">
        <v>456</v>
      </c>
      <c r="F364" s="6" t="n">
        <f aca="false">COUNTIF(dados!$I$2:$I$1028,E364)</f>
        <v>1</v>
      </c>
      <c r="G364" s="10" t="n">
        <f aca="false">SUMIFS(dados!$M$2:$M$1028,dados!$I$2:$I$1028,E364)</f>
        <v>0.0147138744888457</v>
      </c>
      <c r="H364" s="7" t="n">
        <f aca="false">SQRT(G364*40000/PI())</f>
        <v>13.687325105903</v>
      </c>
      <c r="I364" s="11" t="n">
        <f aca="false">_xlfn.MAXIFS(dados!$N$2:$N$1028,dados!$I$2:$I$1028,E364)</f>
        <v>10</v>
      </c>
      <c r="J364" s="3"/>
      <c r="K364" s="3"/>
    </row>
    <row r="365" customFormat="false" ht="15" hidden="false" customHeight="false" outlineLevel="0" collapsed="false">
      <c r="A365" s="2" t="s">
        <v>50</v>
      </c>
      <c r="B365" s="2" t="s">
        <v>455</v>
      </c>
      <c r="C365" s="2" t="n">
        <v>74</v>
      </c>
      <c r="D365" s="2" t="s">
        <v>37</v>
      </c>
      <c r="E365" s="2" t="s">
        <v>457</v>
      </c>
      <c r="F365" s="6" t="n">
        <f aca="false">COUNTIF(dados!$I$2:$I$1028,E365)</f>
        <v>1</v>
      </c>
      <c r="G365" s="10" t="n">
        <f aca="false">SUMIFS(dados!$M$2:$M$1028,dados!$I$2:$I$1028,E365)</f>
        <v>0.0240721851426492</v>
      </c>
      <c r="H365" s="7" t="n">
        <f aca="false">SQRT(G365*40000/PI())</f>
        <v>17.5070437401085</v>
      </c>
      <c r="I365" s="11" t="n">
        <f aca="false">_xlfn.MAXIFS(dados!$N$2:$N$1028,dados!$I$2:$I$1028,E365)</f>
        <v>12</v>
      </c>
      <c r="J365" s="3"/>
      <c r="K365" s="3"/>
    </row>
    <row r="366" customFormat="false" ht="15" hidden="false" customHeight="false" outlineLevel="0" collapsed="false">
      <c r="A366" s="2" t="s">
        <v>50</v>
      </c>
      <c r="B366" s="2" t="s">
        <v>455</v>
      </c>
      <c r="C366" s="2" t="n">
        <v>75</v>
      </c>
      <c r="D366" s="2" t="s">
        <v>37</v>
      </c>
      <c r="E366" s="2" t="s">
        <v>458</v>
      </c>
      <c r="F366" s="6" t="n">
        <f aca="false">COUNTIF(dados!$I$2:$I$1028,E366)</f>
        <v>1</v>
      </c>
      <c r="G366" s="10" t="n">
        <f aca="false">SUMIFS(dados!$M$2:$M$1028,dados!$I$2:$I$1028,E366)</f>
        <v>0.0249554950768092</v>
      </c>
      <c r="H366" s="7" t="n">
        <f aca="false">SQRT(G366*40000/PI())</f>
        <v>17.8253536262923</v>
      </c>
      <c r="I366" s="11" t="n">
        <f aca="false">_xlfn.MAXIFS(dados!$N$2:$N$1028,dados!$I$2:$I$1028,E366)</f>
        <v>11</v>
      </c>
      <c r="J366" s="3"/>
      <c r="K366" s="3"/>
    </row>
    <row r="367" customFormat="false" ht="15" hidden="false" customHeight="false" outlineLevel="0" collapsed="false">
      <c r="A367" s="2" t="s">
        <v>50</v>
      </c>
      <c r="B367" s="2" t="s">
        <v>455</v>
      </c>
      <c r="C367" s="2" t="n">
        <v>76</v>
      </c>
      <c r="D367" s="2" t="s">
        <v>62</v>
      </c>
      <c r="E367" s="2" t="s">
        <v>459</v>
      </c>
      <c r="F367" s="6" t="n">
        <f aca="false">COUNTIF(dados!$I$2:$I$1028,E367)</f>
        <v>2</v>
      </c>
      <c r="G367" s="10" t="n">
        <f aca="false">SUMIFS(dados!$M$2:$M$1028,dados!$I$2:$I$1028,E367)</f>
        <v>0.032244791470418</v>
      </c>
      <c r="H367" s="7" t="n">
        <f aca="false">SQRT(G367*40000/PI())</f>
        <v>20.2621182534984</v>
      </c>
      <c r="I367" s="11" t="n">
        <f aca="false">_xlfn.MAXIFS(dados!$N$2:$N$1028,dados!$I$2:$I$1028,E367)</f>
        <v>14</v>
      </c>
      <c r="J367" s="3"/>
      <c r="K367" s="3"/>
    </row>
    <row r="368" customFormat="false" ht="15" hidden="false" customHeight="false" outlineLevel="0" collapsed="false">
      <c r="A368" s="2" t="s">
        <v>50</v>
      </c>
      <c r="B368" s="2" t="s">
        <v>455</v>
      </c>
      <c r="C368" s="2" t="n">
        <v>77</v>
      </c>
      <c r="D368" s="2" t="s">
        <v>37</v>
      </c>
      <c r="E368" s="2" t="s">
        <v>460</v>
      </c>
      <c r="F368" s="6" t="n">
        <f aca="false">COUNTIF(dados!$I$2:$I$1028,E368)</f>
        <v>2</v>
      </c>
      <c r="G368" s="10" t="n">
        <f aca="false">SUMIFS(dados!$M$2:$M$1028,dados!$I$2:$I$1028,E368)</f>
        <v>0.0624683151635689</v>
      </c>
      <c r="H368" s="7" t="n">
        <f aca="false">SQRT(G368*40000/PI())</f>
        <v>28.2023277690398</v>
      </c>
      <c r="I368" s="11" t="n">
        <f aca="false">_xlfn.MAXIFS(dados!$N$2:$N$1028,dados!$I$2:$I$1028,E368)</f>
        <v>13</v>
      </c>
      <c r="J368" s="3"/>
      <c r="K368" s="3"/>
    </row>
    <row r="369" customFormat="false" ht="15" hidden="false" customHeight="false" outlineLevel="0" collapsed="false">
      <c r="A369" s="2" t="s">
        <v>50</v>
      </c>
      <c r="B369" s="2" t="s">
        <v>455</v>
      </c>
      <c r="C369" s="2" t="n">
        <v>78</v>
      </c>
      <c r="D369" s="2" t="s">
        <v>37</v>
      </c>
      <c r="E369" s="2" t="s">
        <v>461</v>
      </c>
      <c r="F369" s="6" t="n">
        <f aca="false">COUNTIF(dados!$I$2:$I$1028,E369)</f>
        <v>2</v>
      </c>
      <c r="G369" s="10" t="n">
        <f aca="false">SUMIFS(dados!$M$2:$M$1028,dados!$I$2:$I$1028,E369)</f>
        <v>0.0597945121196251</v>
      </c>
      <c r="H369" s="7" t="n">
        <f aca="false">SQRT(G369*40000/PI())</f>
        <v>27.592161457351</v>
      </c>
      <c r="I369" s="11" t="n">
        <f aca="false">_xlfn.MAXIFS(dados!$N$2:$N$1028,dados!$I$2:$I$1028,E369)</f>
        <v>13</v>
      </c>
      <c r="J369" s="3"/>
      <c r="K369" s="3"/>
    </row>
    <row r="370" customFormat="false" ht="15" hidden="false" customHeight="false" outlineLevel="0" collapsed="false">
      <c r="A370" s="2" t="s">
        <v>50</v>
      </c>
      <c r="B370" s="2" t="s">
        <v>455</v>
      </c>
      <c r="C370" s="2" t="n">
        <v>79</v>
      </c>
      <c r="D370" s="2" t="s">
        <v>37</v>
      </c>
      <c r="E370" s="2" t="s">
        <v>462</v>
      </c>
      <c r="F370" s="6" t="n">
        <f aca="false">COUNTIF(dados!$I$2:$I$1028,E370)</f>
        <v>1</v>
      </c>
      <c r="G370" s="10" t="n">
        <f aca="false">SUMIFS(dados!$M$2:$M$1028,dados!$I$2:$I$1028,E370)</f>
        <v>0.0114909868912348</v>
      </c>
      <c r="H370" s="7" t="n">
        <f aca="false">SQRT(G370*40000/PI())</f>
        <v>12.095775674984</v>
      </c>
      <c r="I370" s="11" t="n">
        <f aca="false">_xlfn.MAXIFS(dados!$N$2:$N$1028,dados!$I$2:$I$1028,E370)</f>
        <v>10</v>
      </c>
      <c r="J370" s="3"/>
      <c r="K370" s="3"/>
    </row>
    <row r="371" customFormat="false" ht="15" hidden="false" customHeight="false" outlineLevel="0" collapsed="false">
      <c r="A371" s="2" t="s">
        <v>50</v>
      </c>
      <c r="B371" s="2" t="s">
        <v>455</v>
      </c>
      <c r="C371" s="2" t="n">
        <v>80</v>
      </c>
      <c r="D371" s="2" t="s">
        <v>37</v>
      </c>
      <c r="E371" s="2" t="s">
        <v>463</v>
      </c>
      <c r="F371" s="6" t="n">
        <f aca="false">COUNTIF(dados!$I$2:$I$1028,E371)</f>
        <v>4</v>
      </c>
      <c r="G371" s="10" t="n">
        <f aca="false">SUMIFS(dados!$M$2:$M$1028,dados!$I$2:$I$1028,E371)</f>
        <v>0.109100713489494</v>
      </c>
      <c r="H371" s="7" t="n">
        <f aca="false">SQRT(G371*40000/PI())</f>
        <v>37.2708120080104</v>
      </c>
      <c r="I371" s="11" t="n">
        <f aca="false">_xlfn.MAXIFS(dados!$N$2:$N$1028,dados!$I$2:$I$1028,E371)</f>
        <v>15</v>
      </c>
      <c r="J371" s="3"/>
      <c r="K371" s="3"/>
    </row>
    <row r="372" customFormat="false" ht="15" hidden="false" customHeight="false" outlineLevel="0" collapsed="false">
      <c r="A372" s="2" t="s">
        <v>50</v>
      </c>
      <c r="B372" s="2" t="s">
        <v>455</v>
      </c>
      <c r="C372" s="2" t="n">
        <v>81</v>
      </c>
      <c r="D372" s="2" t="s">
        <v>48</v>
      </c>
      <c r="E372" s="2" t="s">
        <v>464</v>
      </c>
      <c r="F372" s="6" t="n">
        <f aca="false">COUNTIF(dados!$I$2:$I$1028,E372)</f>
        <v>1</v>
      </c>
      <c r="G372" s="10" t="n">
        <f aca="false">SUMIFS(dados!$M$2:$M$1028,dados!$I$2:$I$1028,E372)</f>
        <v>0.00385154962282387</v>
      </c>
      <c r="H372" s="7" t="n">
        <f aca="false">SQRT(G372*40000/PI())</f>
        <v>7.0028174960434</v>
      </c>
      <c r="I372" s="11" t="n">
        <f aca="false">_xlfn.MAXIFS(dados!$N$2:$N$1028,dados!$I$2:$I$1028,E372)</f>
        <v>9</v>
      </c>
      <c r="J372" s="3"/>
      <c r="K372" s="3"/>
    </row>
    <row r="373" customFormat="false" ht="15" hidden="false" customHeight="false" outlineLevel="0" collapsed="false">
      <c r="A373" s="2" t="s">
        <v>50</v>
      </c>
      <c r="B373" s="2" t="s">
        <v>455</v>
      </c>
      <c r="C373" s="2" t="n">
        <v>82</v>
      </c>
      <c r="D373" s="2" t="s">
        <v>63</v>
      </c>
      <c r="E373" s="2" t="s">
        <v>465</v>
      </c>
      <c r="F373" s="6" t="n">
        <f aca="false">COUNTIF(dados!$I$2:$I$1028,E373)</f>
        <v>1</v>
      </c>
      <c r="G373" s="10" t="n">
        <f aca="false">SUMIFS(dados!$M$2:$M$1028,dados!$I$2:$I$1028,E373)</f>
        <v>0.0140374659807052</v>
      </c>
      <c r="H373" s="7" t="n">
        <f aca="false">SQRT(G373*40000/PI())</f>
        <v>13.3690152197192</v>
      </c>
      <c r="I373" s="11" t="n">
        <f aca="false">_xlfn.MAXIFS(dados!$N$2:$N$1028,dados!$I$2:$I$1028,E373)</f>
        <v>11</v>
      </c>
      <c r="J373" s="3"/>
      <c r="K373" s="3"/>
    </row>
    <row r="374" customFormat="false" ht="15" hidden="false" customHeight="false" outlineLevel="0" collapsed="false">
      <c r="A374" s="2" t="s">
        <v>50</v>
      </c>
      <c r="B374" s="2" t="s">
        <v>455</v>
      </c>
      <c r="C374" s="2" t="n">
        <v>83</v>
      </c>
      <c r="D374" s="2" t="s">
        <v>48</v>
      </c>
      <c r="E374" s="2" t="s">
        <v>466</v>
      </c>
      <c r="F374" s="6" t="n">
        <f aca="false">COUNTIF(dados!$I$2:$I$1028,E374)</f>
        <v>1</v>
      </c>
      <c r="G374" s="10" t="n">
        <f aca="false">SUMIFS(dados!$M$2:$M$1028,dados!$I$2:$I$1028,E374)</f>
        <v>0.00350936649517629</v>
      </c>
      <c r="H374" s="7" t="n">
        <f aca="false">SQRT(G374*40000/PI())</f>
        <v>6.68450760985961</v>
      </c>
      <c r="I374" s="11" t="n">
        <f aca="false">_xlfn.MAXIFS(dados!$N$2:$N$1028,dados!$I$2:$I$1028,E374)</f>
        <v>8</v>
      </c>
      <c r="J374" s="3"/>
      <c r="K374" s="3"/>
    </row>
    <row r="375" customFormat="false" ht="15" hidden="false" customHeight="false" outlineLevel="0" collapsed="false">
      <c r="A375" s="2" t="s">
        <v>50</v>
      </c>
      <c r="B375" s="2" t="s">
        <v>455</v>
      </c>
      <c r="C375" s="2" t="n">
        <v>84</v>
      </c>
      <c r="D375" s="2" t="s">
        <v>61</v>
      </c>
      <c r="E375" s="2" t="s">
        <v>467</v>
      </c>
      <c r="F375" s="6" t="n">
        <f aca="false">COUNTIF(dados!$I$2:$I$1028,E375)</f>
        <v>1</v>
      </c>
      <c r="G375" s="10" t="n">
        <f aca="false">SUMIFS(dados!$M$2:$M$1028,dados!$I$2:$I$1028,E375)</f>
        <v>0.00919915571071155</v>
      </c>
      <c r="H375" s="7" t="n">
        <f aca="false">SQRT(G375*40000/PI())</f>
        <v>10.8225361302489</v>
      </c>
      <c r="I375" s="11" t="n">
        <f aca="false">_xlfn.MAXIFS(dados!$N$2:$N$1028,dados!$I$2:$I$1028,E375)</f>
        <v>9</v>
      </c>
      <c r="J375" s="3"/>
      <c r="K375" s="3"/>
    </row>
    <row r="376" customFormat="false" ht="15" hidden="false" customHeight="false" outlineLevel="0" collapsed="false">
      <c r="A376" s="2" t="s">
        <v>50</v>
      </c>
      <c r="B376" s="2" t="s">
        <v>455</v>
      </c>
      <c r="C376" s="2" t="n">
        <v>85</v>
      </c>
      <c r="D376" s="2" t="s">
        <v>61</v>
      </c>
      <c r="E376" s="2" t="s">
        <v>468</v>
      </c>
      <c r="F376" s="6" t="n">
        <f aca="false">COUNTIF(dados!$I$2:$I$1028,E376)</f>
        <v>1</v>
      </c>
      <c r="G376" s="10" t="n">
        <f aca="false">SUMIFS(dados!$M$2:$M$1028,dados!$I$2:$I$1028,E376)</f>
        <v>0.00287274672280871</v>
      </c>
      <c r="H376" s="7" t="n">
        <f aca="false">SQRT(G376*40000/PI())</f>
        <v>6.04788783749202</v>
      </c>
      <c r="I376" s="11" t="n">
        <f aca="false">_xlfn.MAXIFS(dados!$N$2:$N$1028,dados!$I$2:$I$1028,E376)</f>
        <v>5</v>
      </c>
      <c r="J376" s="3"/>
      <c r="K376" s="3"/>
    </row>
    <row r="377" customFormat="false" ht="15" hidden="false" customHeight="false" outlineLevel="0" collapsed="false">
      <c r="A377" s="2" t="s">
        <v>50</v>
      </c>
      <c r="B377" s="2" t="s">
        <v>455</v>
      </c>
      <c r="C377" s="2" t="n">
        <v>86</v>
      </c>
      <c r="D377" s="2" t="s">
        <v>64</v>
      </c>
      <c r="E377" s="2" t="s">
        <v>469</v>
      </c>
      <c r="F377" s="6" t="n">
        <f aca="false">COUNTIF(dados!$I$2:$I$1028,E377)</f>
        <v>1</v>
      </c>
      <c r="G377" s="10" t="n">
        <f aca="false">SUMIFS(dados!$M$2:$M$1028,dados!$I$2:$I$1028,E377)</f>
        <v>0.00420964824478063</v>
      </c>
      <c r="H377" s="7" t="n">
        <f aca="false">SQRT(G377*40000/PI())</f>
        <v>7.32112738222719</v>
      </c>
      <c r="I377" s="11" t="n">
        <f aca="false">_xlfn.MAXIFS(dados!$N$2:$N$1028,dados!$I$2:$I$1028,E377)</f>
        <v>11</v>
      </c>
      <c r="J377" s="3"/>
      <c r="K377" s="3"/>
    </row>
    <row r="378" customFormat="false" ht="15" hidden="false" customHeight="false" outlineLevel="0" collapsed="false">
      <c r="A378" s="2" t="s">
        <v>50</v>
      </c>
      <c r="B378" s="2" t="s">
        <v>455</v>
      </c>
      <c r="C378" s="2" t="n">
        <v>87</v>
      </c>
      <c r="D378" s="2" t="s">
        <v>37</v>
      </c>
      <c r="E378" s="2" t="s">
        <v>470</v>
      </c>
      <c r="F378" s="6" t="n">
        <f aca="false">COUNTIF(dados!$I$2:$I$1028,E378)</f>
        <v>1</v>
      </c>
      <c r="G378" s="10" t="n">
        <f aca="false">SUMIFS(dados!$M$2:$M$1028,dados!$I$2:$I$1028,E378)</f>
        <v>0.0175786634644998</v>
      </c>
      <c r="H378" s="7" t="n">
        <f aca="false">SQRT(G378*40000/PI())</f>
        <v>14.9605646506382</v>
      </c>
      <c r="I378" s="11" t="n">
        <f aca="false">_xlfn.MAXIFS(dados!$N$2:$N$1028,dados!$I$2:$I$1028,E378)</f>
        <v>10</v>
      </c>
      <c r="J378" s="3"/>
      <c r="K378" s="3"/>
    </row>
    <row r="379" customFormat="false" ht="15" hidden="false" customHeight="false" outlineLevel="0" collapsed="false">
      <c r="A379" s="2" t="s">
        <v>50</v>
      </c>
      <c r="B379" s="2" t="s">
        <v>455</v>
      </c>
      <c r="C379" s="2" t="n">
        <v>88</v>
      </c>
      <c r="D379" s="2" t="s">
        <v>57</v>
      </c>
      <c r="E379" s="2" t="s">
        <v>471</v>
      </c>
      <c r="F379" s="6" t="n">
        <f aca="false">COUNTIF(dados!$I$2:$I$1028,E379)</f>
        <v>1</v>
      </c>
      <c r="G379" s="10" t="n">
        <f aca="false">SUMIFS(dados!$M$2:$M$1028,dados!$I$2:$I$1028,E379)</f>
        <v>0.0412529612494193</v>
      </c>
      <c r="H379" s="7" t="n">
        <f aca="false">SQRT(G379*40000/PI())</f>
        <v>22.9183118052329</v>
      </c>
      <c r="I379" s="11" t="n">
        <f aca="false">_xlfn.MAXIFS(dados!$N$2:$N$1028,dados!$I$2:$I$1028,E379)</f>
        <v>13</v>
      </c>
      <c r="J379" s="3"/>
      <c r="K379" s="3"/>
    </row>
    <row r="380" customFormat="false" ht="15" hidden="false" customHeight="false" outlineLevel="0" collapsed="false">
      <c r="A380" s="2" t="s">
        <v>50</v>
      </c>
      <c r="B380" s="2" t="s">
        <v>455</v>
      </c>
      <c r="C380" s="2" t="n">
        <v>89</v>
      </c>
      <c r="D380" s="2" t="s">
        <v>37</v>
      </c>
      <c r="E380" s="2" t="s">
        <v>472</v>
      </c>
      <c r="F380" s="6" t="n">
        <f aca="false">COUNTIF(dados!$I$2:$I$1028,E380)</f>
        <v>3</v>
      </c>
      <c r="G380" s="10" t="n">
        <f aca="false">SUMIFS(dados!$M$2:$M$1028,dados!$I$2:$I$1028,E380)</f>
        <v>0.0206423961190188</v>
      </c>
      <c r="H380" s="7" t="n">
        <f aca="false">SQRT(G380*40000/PI())</f>
        <v>16.2119446818765</v>
      </c>
      <c r="I380" s="11" t="n">
        <f aca="false">_xlfn.MAXIFS(dados!$N$2:$N$1028,dados!$I$2:$I$1028,E380)</f>
        <v>9</v>
      </c>
      <c r="J380" s="3"/>
      <c r="K380" s="3"/>
    </row>
    <row r="381" customFormat="false" ht="15" hidden="false" customHeight="false" outlineLevel="0" collapsed="false">
      <c r="A381" s="2" t="s">
        <v>50</v>
      </c>
      <c r="B381" s="2" t="s">
        <v>455</v>
      </c>
      <c r="C381" s="2" t="n">
        <v>90</v>
      </c>
      <c r="D381" s="2" t="s">
        <v>37</v>
      </c>
      <c r="E381" s="2" t="s">
        <v>473</v>
      </c>
      <c r="F381" s="6" t="n">
        <f aca="false">COUNTIF(dados!$I$2:$I$1028,E381)</f>
        <v>1</v>
      </c>
      <c r="G381" s="10" t="n">
        <f aca="false">SUMIFS(dados!$M$2:$M$1028,dados!$I$2:$I$1028,E381)</f>
        <v>0.0147138744888457</v>
      </c>
      <c r="H381" s="7" t="n">
        <f aca="false">SQRT(G381*40000/PI())</f>
        <v>13.687325105903</v>
      </c>
      <c r="I381" s="11" t="n">
        <f aca="false">_xlfn.MAXIFS(dados!$N$2:$N$1028,dados!$I$2:$I$1028,E381)</f>
        <v>9</v>
      </c>
      <c r="J381" s="3"/>
      <c r="K381" s="3"/>
    </row>
    <row r="382" customFormat="false" ht="15" hidden="false" customHeight="false" outlineLevel="0" collapsed="false">
      <c r="A382" s="2" t="s">
        <v>50</v>
      </c>
      <c r="B382" s="2" t="s">
        <v>455</v>
      </c>
      <c r="C382" s="2" t="n">
        <v>91</v>
      </c>
      <c r="D382" s="2" t="s">
        <v>37</v>
      </c>
      <c r="E382" s="2" t="s">
        <v>474</v>
      </c>
      <c r="F382" s="6" t="n">
        <f aca="false">COUNTIF(dados!$I$2:$I$1028,E382)</f>
        <v>2</v>
      </c>
      <c r="G382" s="10" t="n">
        <f aca="false">SUMIFS(dados!$M$2:$M$1028,dados!$I$2:$I$1028,E382)</f>
        <v>0.0731157808564167</v>
      </c>
      <c r="H382" s="7" t="n">
        <f aca="false">SQRT(G382*40000/PI())</f>
        <v>30.5112935698538</v>
      </c>
      <c r="I382" s="11" t="n">
        <f aca="false">_xlfn.MAXIFS(dados!$N$2:$N$1028,dados!$I$2:$I$1028,E382)</f>
        <v>10</v>
      </c>
      <c r="J382" s="3"/>
      <c r="K382" s="3"/>
    </row>
    <row r="383" customFormat="false" ht="15" hidden="false" customHeight="false" outlineLevel="0" collapsed="false">
      <c r="A383" s="2" t="s">
        <v>50</v>
      </c>
      <c r="B383" s="2" t="s">
        <v>455</v>
      </c>
      <c r="C383" s="2" t="n">
        <v>92</v>
      </c>
      <c r="D383" s="2" t="s">
        <v>37</v>
      </c>
      <c r="E383" s="2" t="s">
        <v>475</v>
      </c>
      <c r="F383" s="6" t="n">
        <f aca="false">COUNTIF(dados!$I$2:$I$1028,E383)</f>
        <v>2</v>
      </c>
      <c r="G383" s="10" t="n">
        <f aca="false">SUMIFS(dados!$M$2:$M$1028,dados!$I$2:$I$1028,E383)</f>
        <v>0.0157961281018706</v>
      </c>
      <c r="H383" s="7" t="n">
        <f aca="false">SQRT(G383*40000/PI())</f>
        <v>14.1817682088673</v>
      </c>
      <c r="I383" s="11" t="n">
        <f aca="false">_xlfn.MAXIFS(dados!$N$2:$N$1028,dados!$I$2:$I$1028,E383)</f>
        <v>11</v>
      </c>
      <c r="J383" s="3"/>
      <c r="K383" s="3"/>
    </row>
    <row r="384" customFormat="false" ht="15" hidden="false" customHeight="false" outlineLevel="0" collapsed="false">
      <c r="A384" s="2" t="s">
        <v>50</v>
      </c>
      <c r="B384" s="2" t="s">
        <v>476</v>
      </c>
      <c r="C384" s="2" t="n">
        <v>93</v>
      </c>
      <c r="D384" s="2" t="s">
        <v>52</v>
      </c>
      <c r="E384" s="2" t="s">
        <v>477</v>
      </c>
      <c r="F384" s="6" t="n">
        <f aca="false">COUNTIF(dados!$I$2:$I$1028,E384)</f>
        <v>1</v>
      </c>
      <c r="G384" s="10" t="n">
        <f aca="false">SUMIFS(dados!$M$2:$M$1028,dados!$I$2:$I$1028,E384)</f>
        <v>0.00580119767569958</v>
      </c>
      <c r="H384" s="7" t="n">
        <f aca="false">SQRT(G384*40000/PI())</f>
        <v>8.59436692696235</v>
      </c>
      <c r="I384" s="11" t="n">
        <f aca="false">_xlfn.MAXIFS(dados!$N$2:$N$1028,dados!$I$2:$I$1028,E384)</f>
        <v>10</v>
      </c>
      <c r="J384" s="3"/>
      <c r="K384" s="3"/>
    </row>
    <row r="385" customFormat="false" ht="15" hidden="false" customHeight="false" outlineLevel="0" collapsed="false">
      <c r="A385" s="2" t="s">
        <v>50</v>
      </c>
      <c r="B385" s="2" t="s">
        <v>476</v>
      </c>
      <c r="C385" s="2" t="n">
        <v>94</v>
      </c>
      <c r="D385" s="2" t="s">
        <v>37</v>
      </c>
      <c r="E385" s="2" t="s">
        <v>478</v>
      </c>
      <c r="F385" s="6" t="n">
        <f aca="false">COUNTIF(dados!$I$2:$I$1028,E385)</f>
        <v>1</v>
      </c>
      <c r="G385" s="10" t="n">
        <f aca="false">SUMIFS(dados!$M$2:$M$1028,dados!$I$2:$I$1028,E385)</f>
        <v>0.00318309886183791</v>
      </c>
      <c r="H385" s="7" t="n">
        <f aca="false">SQRT(G385*40000/PI())</f>
        <v>6.36619772367581</v>
      </c>
      <c r="I385" s="11" t="n">
        <f aca="false">_xlfn.MAXIFS(dados!$N$2:$N$1028,dados!$I$2:$I$1028,E385)</f>
        <v>6</v>
      </c>
      <c r="J385" s="3"/>
      <c r="K385" s="3"/>
    </row>
    <row r="386" customFormat="false" ht="15" hidden="false" customHeight="false" outlineLevel="0" collapsed="false">
      <c r="A386" s="2" t="s">
        <v>50</v>
      </c>
      <c r="B386" s="2" t="s">
        <v>476</v>
      </c>
      <c r="C386" s="2" t="n">
        <v>95</v>
      </c>
      <c r="D386" s="2" t="s">
        <v>59</v>
      </c>
      <c r="E386" s="2" t="s">
        <v>479</v>
      </c>
      <c r="F386" s="6" t="n">
        <f aca="false">COUNTIF(dados!$I$2:$I$1028,E386)</f>
        <v>1</v>
      </c>
      <c r="G386" s="10" t="n">
        <f aca="false">SUMIFS(dados!$M$2:$M$1028,dados!$I$2:$I$1028,E386)</f>
        <v>0.00580119767569958</v>
      </c>
      <c r="H386" s="7" t="n">
        <f aca="false">SQRT(G386*40000/PI())</f>
        <v>8.59436692696235</v>
      </c>
      <c r="I386" s="11" t="n">
        <f aca="false">_xlfn.MAXIFS(dados!$N$2:$N$1028,dados!$I$2:$I$1028,E386)</f>
        <v>10</v>
      </c>
      <c r="J386" s="3"/>
      <c r="K386" s="3"/>
    </row>
    <row r="387" customFormat="false" ht="15" hidden="false" customHeight="false" outlineLevel="0" collapsed="false">
      <c r="A387" s="2" t="s">
        <v>50</v>
      </c>
      <c r="B387" s="2" t="s">
        <v>476</v>
      </c>
      <c r="C387" s="2" t="n">
        <v>96</v>
      </c>
      <c r="D387" s="2" t="s">
        <v>59</v>
      </c>
      <c r="E387" s="2" t="s">
        <v>480</v>
      </c>
      <c r="F387" s="6" t="n">
        <f aca="false">COUNTIF(dados!$I$2:$I$1028,E387)</f>
        <v>1</v>
      </c>
      <c r="G387" s="10" t="n">
        <f aca="false">SUMIFS(dados!$M$2:$M$1028,dados!$I$2:$I$1028,E387)</f>
        <v>0.0062388737692023</v>
      </c>
      <c r="H387" s="7" t="n">
        <f aca="false">SQRT(G387*40000/PI())</f>
        <v>8.91267681314614</v>
      </c>
      <c r="I387" s="11" t="n">
        <f aca="false">_xlfn.MAXIFS(dados!$N$2:$N$1028,dados!$I$2:$I$1028,E387)</f>
        <v>8</v>
      </c>
      <c r="J387" s="3"/>
      <c r="K387" s="3"/>
    </row>
    <row r="388" customFormat="false" ht="15" hidden="false" customHeight="false" outlineLevel="0" collapsed="false">
      <c r="A388" s="2" t="s">
        <v>50</v>
      </c>
      <c r="B388" s="2" t="s">
        <v>476</v>
      </c>
      <c r="C388" s="2" t="n">
        <v>97</v>
      </c>
      <c r="D388" s="2" t="s">
        <v>52</v>
      </c>
      <c r="E388" s="2" t="s">
        <v>481</v>
      </c>
      <c r="F388" s="6" t="n">
        <f aca="false">COUNTIF(dados!$I$2:$I$1028,E388)</f>
        <v>1</v>
      </c>
      <c r="G388" s="10" t="n">
        <f aca="false">SUMIFS(dados!$M$2:$M$1028,dados!$I$2:$I$1028,E388)</f>
        <v>0.0062388737692023</v>
      </c>
      <c r="H388" s="7" t="n">
        <f aca="false">SQRT(G388*40000/PI())</f>
        <v>8.91267681314614</v>
      </c>
      <c r="I388" s="11" t="n">
        <f aca="false">_xlfn.MAXIFS(dados!$N$2:$N$1028,dados!$I$2:$I$1028,E388)</f>
        <v>9</v>
      </c>
      <c r="J388" s="3"/>
      <c r="K388" s="3"/>
    </row>
    <row r="389" customFormat="false" ht="15" hidden="false" customHeight="false" outlineLevel="0" collapsed="false">
      <c r="A389" s="2" t="s">
        <v>50</v>
      </c>
      <c r="B389" s="2" t="s">
        <v>476</v>
      </c>
      <c r="C389" s="2" t="n">
        <v>98</v>
      </c>
      <c r="D389" s="2" t="s">
        <v>52</v>
      </c>
      <c r="E389" s="2" t="s">
        <v>482</v>
      </c>
      <c r="F389" s="6" t="n">
        <f aca="false">COUNTIF(dados!$I$2:$I$1028,E389)</f>
        <v>1</v>
      </c>
      <c r="G389" s="10" t="n">
        <f aca="false">SUMIFS(dados!$M$2:$M$1028,dados!$I$2:$I$1028,E389)</f>
        <v>0.0086659866513537</v>
      </c>
      <c r="H389" s="7" t="n">
        <f aca="false">SQRT(G389*40000/PI())</f>
        <v>10.5042262440651</v>
      </c>
      <c r="I389" s="11" t="n">
        <f aca="false">_xlfn.MAXIFS(dados!$N$2:$N$1028,dados!$I$2:$I$1028,E389)</f>
        <v>11</v>
      </c>
      <c r="J389" s="3"/>
      <c r="K389" s="3"/>
    </row>
    <row r="390" customFormat="false" ht="15" hidden="false" customHeight="false" outlineLevel="0" collapsed="false">
      <c r="A390" s="2" t="s">
        <v>50</v>
      </c>
      <c r="B390" s="2" t="s">
        <v>476</v>
      </c>
      <c r="C390" s="2" t="n">
        <v>99</v>
      </c>
      <c r="D390" s="2" t="s">
        <v>65</v>
      </c>
      <c r="E390" s="2" t="s">
        <v>483</v>
      </c>
      <c r="F390" s="6" t="n">
        <f aca="false">COUNTIF(dados!$I$2:$I$1028,E390)</f>
        <v>1</v>
      </c>
      <c r="G390" s="10" t="n">
        <f aca="false">SUMIFS(dados!$M$2:$M$1028,dados!$I$2:$I$1028,E390)</f>
        <v>0.0086659866513537</v>
      </c>
      <c r="H390" s="7" t="n">
        <f aca="false">SQRT(G390*40000/PI())</f>
        <v>10.5042262440651</v>
      </c>
      <c r="I390" s="11" t="n">
        <f aca="false">_xlfn.MAXIFS(dados!$N$2:$N$1028,dados!$I$2:$I$1028,E390)</f>
        <v>11</v>
      </c>
      <c r="J390" s="3"/>
      <c r="K390" s="3"/>
    </row>
    <row r="391" customFormat="false" ht="15" hidden="false" customHeight="false" outlineLevel="0" collapsed="false">
      <c r="A391" s="2" t="s">
        <v>50</v>
      </c>
      <c r="B391" s="2" t="s">
        <v>476</v>
      </c>
      <c r="C391" s="2" t="n">
        <v>100</v>
      </c>
      <c r="D391" s="2" t="s">
        <v>52</v>
      </c>
      <c r="E391" s="2" t="s">
        <v>484</v>
      </c>
      <c r="F391" s="6" t="n">
        <f aca="false">COUNTIF(dados!$I$2:$I$1028,E391)</f>
        <v>1</v>
      </c>
      <c r="G391" s="10" t="n">
        <f aca="false">SUMIFS(dados!$M$2:$M$1028,dados!$I$2:$I$1028,E391)</f>
        <v>0.0062388737692023</v>
      </c>
      <c r="H391" s="7" t="n">
        <f aca="false">SQRT(G391*40000/PI())</f>
        <v>8.91267681314614</v>
      </c>
      <c r="I391" s="11" t="n">
        <f aca="false">_xlfn.MAXIFS(dados!$N$2:$N$1028,dados!$I$2:$I$1028,E391)</f>
        <v>6</v>
      </c>
      <c r="J391" s="3"/>
      <c r="K391" s="3"/>
    </row>
    <row r="392" customFormat="false" ht="15" hidden="false" customHeight="false" outlineLevel="0" collapsed="false">
      <c r="A392" s="2" t="s">
        <v>50</v>
      </c>
      <c r="B392" s="2" t="s">
        <v>476</v>
      </c>
      <c r="C392" s="2" t="n">
        <v>101</v>
      </c>
      <c r="D392" s="2" t="s">
        <v>52</v>
      </c>
      <c r="E392" s="2" t="s">
        <v>485</v>
      </c>
      <c r="F392" s="6" t="n">
        <f aca="false">COUNTIF(dados!$I$2:$I$1028,E392)</f>
        <v>1</v>
      </c>
      <c r="G392" s="10" t="n">
        <f aca="false">SUMIFS(dados!$M$2:$M$1028,dados!$I$2:$I$1028,E392)</f>
        <v>0.00716197243913529</v>
      </c>
      <c r="H392" s="7" t="n">
        <f aca="false">SQRT(G392*40000/PI())</f>
        <v>9.54929658551372</v>
      </c>
      <c r="I392" s="11" t="n">
        <f aca="false">_xlfn.MAXIFS(dados!$N$2:$N$1028,dados!$I$2:$I$1028,E392)</f>
        <v>5</v>
      </c>
      <c r="J392" s="3"/>
      <c r="K392" s="3"/>
    </row>
    <row r="393" customFormat="false" ht="15" hidden="false" customHeight="false" outlineLevel="0" collapsed="false">
      <c r="A393" s="2" t="s">
        <v>50</v>
      </c>
      <c r="B393" s="2" t="s">
        <v>476</v>
      </c>
      <c r="C393" s="2" t="n">
        <v>102</v>
      </c>
      <c r="D393" s="2" t="s">
        <v>52</v>
      </c>
      <c r="E393" s="2" t="s">
        <v>486</v>
      </c>
      <c r="F393" s="6" t="n">
        <f aca="false">COUNTIF(dados!$I$2:$I$1028,E393)</f>
        <v>1</v>
      </c>
      <c r="G393" s="10" t="n">
        <f aca="false">SUMIFS(dados!$M$2:$M$1028,dados!$I$2:$I$1028,E393)</f>
        <v>0.00580119767569958</v>
      </c>
      <c r="H393" s="7" t="n">
        <f aca="false">SQRT(G393*40000/PI())</f>
        <v>8.59436692696235</v>
      </c>
      <c r="I393" s="11" t="n">
        <f aca="false">_xlfn.MAXIFS(dados!$N$2:$N$1028,dados!$I$2:$I$1028,E393)</f>
        <v>7</v>
      </c>
      <c r="J393" s="3"/>
      <c r="K393" s="3"/>
    </row>
    <row r="394" customFormat="false" ht="15" hidden="false" customHeight="false" outlineLevel="0" collapsed="false">
      <c r="A394" s="2" t="s">
        <v>50</v>
      </c>
      <c r="B394" s="2" t="s">
        <v>476</v>
      </c>
      <c r="C394" s="2" t="n">
        <v>103</v>
      </c>
      <c r="D394" s="2" t="s">
        <v>52</v>
      </c>
      <c r="E394" s="2" t="s">
        <v>487</v>
      </c>
      <c r="F394" s="6" t="n">
        <f aca="false">COUNTIF(dados!$I$2:$I$1028,E394)</f>
        <v>1</v>
      </c>
      <c r="G394" s="10" t="n">
        <f aca="false">SUMIFS(dados!$M$2:$M$1028,dados!$I$2:$I$1028,E394)</f>
        <v>0.0103132403123548</v>
      </c>
      <c r="H394" s="7" t="n">
        <f aca="false">SQRT(G394*40000/PI())</f>
        <v>11.4591559026165</v>
      </c>
      <c r="I394" s="11" t="n">
        <f aca="false">_xlfn.MAXIFS(dados!$N$2:$N$1028,dados!$I$2:$I$1028,E394)</f>
        <v>11</v>
      </c>
      <c r="J394" s="3"/>
      <c r="K394" s="3"/>
    </row>
    <row r="395" customFormat="false" ht="15" hidden="false" customHeight="false" outlineLevel="0" collapsed="false">
      <c r="A395" s="2" t="s">
        <v>50</v>
      </c>
      <c r="B395" s="2" t="s">
        <v>476</v>
      </c>
      <c r="C395" s="2" t="n">
        <v>104</v>
      </c>
      <c r="D395" s="2" t="s">
        <v>66</v>
      </c>
      <c r="E395" s="2" t="s">
        <v>488</v>
      </c>
      <c r="F395" s="6" t="n">
        <f aca="false">COUNTIF(dados!$I$2:$I$1028,E395)</f>
        <v>1</v>
      </c>
      <c r="G395" s="10" t="n">
        <f aca="false">SUMIFS(dados!$M$2:$M$1028,dados!$I$2:$I$1028,E395)</f>
        <v>0.0183346494441863</v>
      </c>
      <c r="H395" s="7" t="n">
        <f aca="false">SQRT(G395*40000/PI())</f>
        <v>15.278874536822</v>
      </c>
      <c r="I395" s="11" t="n">
        <f aca="false">_xlfn.MAXIFS(dados!$N$2:$N$1028,dados!$I$2:$I$1028,E395)</f>
        <v>11</v>
      </c>
      <c r="J395" s="3"/>
      <c r="K395" s="3"/>
    </row>
    <row r="396" customFormat="false" ht="15" hidden="false" customHeight="false" outlineLevel="0" collapsed="false">
      <c r="A396" s="2" t="s">
        <v>50</v>
      </c>
      <c r="B396" s="2" t="s">
        <v>476</v>
      </c>
      <c r="C396" s="2" t="n">
        <v>105</v>
      </c>
      <c r="D396" s="2" t="s">
        <v>37</v>
      </c>
      <c r="E396" s="2" t="s">
        <v>489</v>
      </c>
      <c r="F396" s="6" t="n">
        <f aca="false">COUNTIF(dados!$I$2:$I$1028,E396)</f>
        <v>1</v>
      </c>
      <c r="G396" s="10" t="n">
        <f aca="false">SUMIFS(dados!$M$2:$M$1028,dados!$I$2:$I$1028,E396)</f>
        <v>0.155971844230057</v>
      </c>
      <c r="H396" s="7" t="n">
        <f aca="false">SQRT(G396*40000/PI())</f>
        <v>44.5633840657307</v>
      </c>
      <c r="I396" s="11" t="n">
        <f aca="false">_xlfn.MAXIFS(dados!$N$2:$N$1028,dados!$I$2:$I$1028,E396)</f>
        <v>10</v>
      </c>
      <c r="J396" s="3"/>
      <c r="K396" s="3"/>
    </row>
    <row r="397" customFormat="false" ht="15" hidden="false" customHeight="false" outlineLevel="0" collapsed="false">
      <c r="A397" s="2" t="s">
        <v>50</v>
      </c>
      <c r="B397" s="2" t="s">
        <v>476</v>
      </c>
      <c r="C397" s="2" t="n">
        <v>106</v>
      </c>
      <c r="D397" s="2" t="s">
        <v>48</v>
      </c>
      <c r="E397" s="2" t="s">
        <v>490</v>
      </c>
      <c r="F397" s="6" t="n">
        <f aca="false">COUNTIF(dados!$I$2:$I$1028,E397)</f>
        <v>1</v>
      </c>
      <c r="G397" s="10" t="n">
        <f aca="false">SUMIFS(dados!$M$2:$M$1028,dados!$I$2:$I$1028,E397)</f>
        <v>0.350936649517629</v>
      </c>
      <c r="H397" s="7" t="n">
        <f aca="false">SQRT(G397*40000/PI())</f>
        <v>66.845076098596</v>
      </c>
      <c r="I397" s="11" t="n">
        <f aca="false">_xlfn.MAXIFS(dados!$N$2:$N$1028,dados!$I$2:$I$1028,E397)</f>
        <v>16</v>
      </c>
      <c r="J397" s="3"/>
      <c r="K397" s="3"/>
    </row>
    <row r="398" customFormat="false" ht="15" hidden="false" customHeight="false" outlineLevel="0" collapsed="false">
      <c r="A398" s="2" t="s">
        <v>50</v>
      </c>
      <c r="B398" s="2" t="s">
        <v>476</v>
      </c>
      <c r="C398" s="2" t="n">
        <v>107</v>
      </c>
      <c r="D398" s="2" t="s">
        <v>37</v>
      </c>
      <c r="E398" s="2" t="s">
        <v>491</v>
      </c>
      <c r="F398" s="6" t="n">
        <f aca="false">COUNTIF(dados!$I$2:$I$1028,E398)</f>
        <v>1</v>
      </c>
      <c r="G398" s="10" t="n">
        <f aca="false">SUMIFS(dados!$M$2:$M$1028,dados!$I$2:$I$1028,E398)</f>
        <v>0.0535078918674952</v>
      </c>
      <c r="H398" s="7" t="n">
        <f aca="false">SQRT(G398*40000/PI())</f>
        <v>26.1014106670708</v>
      </c>
      <c r="I398" s="11" t="n">
        <f aca="false">_xlfn.MAXIFS(dados!$N$2:$N$1028,dados!$I$2:$I$1028,E398)</f>
        <v>15</v>
      </c>
      <c r="J398" s="3"/>
      <c r="K398" s="3"/>
    </row>
    <row r="399" customFormat="false" ht="15" hidden="false" customHeight="false" outlineLevel="0" collapsed="false">
      <c r="A399" s="2" t="s">
        <v>50</v>
      </c>
      <c r="B399" s="2" t="s">
        <v>476</v>
      </c>
      <c r="C399" s="2" t="n">
        <v>108</v>
      </c>
      <c r="D399" s="2" t="s">
        <v>60</v>
      </c>
      <c r="E399" s="2" t="s">
        <v>492</v>
      </c>
      <c r="F399" s="6" t="n">
        <f aca="false">COUNTIF(dados!$I$2:$I$1028,E399)</f>
        <v>1</v>
      </c>
      <c r="G399" s="10" t="n">
        <f aca="false">SUMIFS(dados!$M$2:$M$1028,dados!$I$2:$I$1028,E399)</f>
        <v>0.0296107771622471</v>
      </c>
      <c r="H399" s="7" t="n">
        <f aca="false">SQRT(G399*40000/PI())</f>
        <v>19.4169030572112</v>
      </c>
      <c r="I399" s="11" t="n">
        <f aca="false">_xlfn.MAXIFS(dados!$N$2:$N$1028,dados!$I$2:$I$1028,E399)</f>
        <v>14</v>
      </c>
      <c r="J399" s="3"/>
      <c r="K399" s="3"/>
    </row>
    <row r="400" customFormat="false" ht="15" hidden="false" customHeight="false" outlineLevel="0" collapsed="false">
      <c r="A400" s="2" t="s">
        <v>50</v>
      </c>
      <c r="B400" s="2" t="s">
        <v>476</v>
      </c>
      <c r="C400" s="2" t="n">
        <v>109</v>
      </c>
      <c r="D400" s="2" t="s">
        <v>52</v>
      </c>
      <c r="E400" s="2" t="s">
        <v>493</v>
      </c>
      <c r="F400" s="6" t="n">
        <f aca="false">COUNTIF(dados!$I$2:$I$1028,E400)</f>
        <v>1</v>
      </c>
      <c r="G400" s="10" t="n">
        <f aca="false">SUMIFS(dados!$M$2:$M$1028,dados!$I$2:$I$1028,E400)</f>
        <v>0.00385154962282387</v>
      </c>
      <c r="H400" s="7" t="n">
        <f aca="false">SQRT(G400*40000/PI())</f>
        <v>7.0028174960434</v>
      </c>
      <c r="I400" s="11" t="n">
        <f aca="false">_xlfn.MAXIFS(dados!$N$2:$N$1028,dados!$I$2:$I$1028,E400)</f>
        <v>16</v>
      </c>
      <c r="J400" s="3"/>
      <c r="K400" s="3"/>
    </row>
    <row r="401" customFormat="false" ht="15" hidden="false" customHeight="false" outlineLevel="0" collapsed="false">
      <c r="A401" s="2" t="s">
        <v>50</v>
      </c>
      <c r="B401" s="2" t="s">
        <v>476</v>
      </c>
      <c r="C401" s="2" t="n">
        <v>110</v>
      </c>
      <c r="D401" s="2" t="s">
        <v>67</v>
      </c>
      <c r="E401" s="2" t="s">
        <v>494</v>
      </c>
      <c r="F401" s="6" t="n">
        <f aca="false">COUNTIF(dados!$I$2:$I$1028,E401)</f>
        <v>1</v>
      </c>
      <c r="G401" s="10" t="n">
        <f aca="false">SUMIFS(dados!$M$2:$M$1028,dados!$I$2:$I$1028,E401)</f>
        <v>0.0108941558546402</v>
      </c>
      <c r="H401" s="7" t="n">
        <f aca="false">SQRT(G401*40000/PI())</f>
        <v>11.7774657888003</v>
      </c>
      <c r="I401" s="11" t="n">
        <f aca="false">_xlfn.MAXIFS(dados!$N$2:$N$1028,dados!$I$2:$I$1028,E401)</f>
        <v>7</v>
      </c>
      <c r="J401" s="3"/>
      <c r="K401" s="3"/>
    </row>
    <row r="402" customFormat="false" ht="15" hidden="false" customHeight="false" outlineLevel="0" collapsed="false">
      <c r="A402" s="2" t="s">
        <v>50</v>
      </c>
      <c r="B402" s="2" t="s">
        <v>476</v>
      </c>
      <c r="C402" s="2" t="n">
        <v>111</v>
      </c>
      <c r="D402" s="2" t="s">
        <v>52</v>
      </c>
      <c r="E402" s="2" t="s">
        <v>495</v>
      </c>
      <c r="F402" s="6" t="n">
        <f aca="false">COUNTIF(dados!$I$2:$I$1028,E402)</f>
        <v>1</v>
      </c>
      <c r="G402" s="10" t="n">
        <f aca="false">SUMIFS(dados!$M$2:$M$1028,dados!$I$2:$I$1028,E402)</f>
        <v>0.00974824026437859</v>
      </c>
      <c r="H402" s="7" t="n">
        <f aca="false">SQRT(G402*40000/PI())</f>
        <v>11.1408460164327</v>
      </c>
      <c r="I402" s="11" t="n">
        <f aca="false">_xlfn.MAXIFS(dados!$N$2:$N$1028,dados!$I$2:$I$1028,E402)</f>
        <v>11</v>
      </c>
      <c r="J402" s="3"/>
      <c r="K402" s="3"/>
    </row>
    <row r="403" customFormat="false" ht="15" hidden="false" customHeight="false" outlineLevel="0" collapsed="false">
      <c r="A403" s="2" t="s">
        <v>50</v>
      </c>
      <c r="B403" s="2" t="s">
        <v>476</v>
      </c>
      <c r="C403" s="2" t="n">
        <v>112</v>
      </c>
      <c r="D403" s="2" t="s">
        <v>52</v>
      </c>
      <c r="E403" s="2" t="s">
        <v>496</v>
      </c>
      <c r="F403" s="6" t="n">
        <f aca="false">COUNTIF(dados!$I$2:$I$1028,E403)</f>
        <v>1</v>
      </c>
      <c r="G403" s="10" t="n">
        <f aca="false">SUMIFS(dados!$M$2:$M$1028,dados!$I$2:$I$1028,E403)</f>
        <v>0.00318309886183791</v>
      </c>
      <c r="H403" s="7" t="n">
        <f aca="false">SQRT(G403*40000/PI())</f>
        <v>6.36619772367581</v>
      </c>
      <c r="I403" s="11" t="n">
        <f aca="false">_xlfn.MAXIFS(dados!$N$2:$N$1028,dados!$I$2:$I$1028,E403)</f>
        <v>6</v>
      </c>
      <c r="J403" s="3"/>
      <c r="K403" s="3"/>
    </row>
    <row r="404" customFormat="false" ht="15" hidden="false" customHeight="false" outlineLevel="0" collapsed="false">
      <c r="A404" s="2" t="s">
        <v>50</v>
      </c>
      <c r="B404" s="2" t="s">
        <v>476</v>
      </c>
      <c r="C404" s="2" t="n">
        <v>113</v>
      </c>
      <c r="D404" s="2" t="s">
        <v>37</v>
      </c>
      <c r="E404" s="2" t="s">
        <v>497</v>
      </c>
      <c r="F404" s="6" t="n">
        <f aca="false">COUNTIF(dados!$I$2:$I$1028,E404)</f>
        <v>1</v>
      </c>
      <c r="G404" s="10" t="n">
        <f aca="false">SUMIFS(dados!$M$2:$M$1028,dados!$I$2:$I$1028,E404)</f>
        <v>0.00814873308630504</v>
      </c>
      <c r="H404" s="7" t="n">
        <f aca="false">SQRT(G404*40000/PI())</f>
        <v>10.1859163578813</v>
      </c>
      <c r="I404" s="11" t="n">
        <f aca="false">_xlfn.MAXIFS(dados!$N$2:$N$1028,dados!$I$2:$I$1028,E404)</f>
        <v>9</v>
      </c>
      <c r="J404" s="3"/>
      <c r="K404" s="3"/>
    </row>
    <row r="405" customFormat="false" ht="15" hidden="false" customHeight="false" outlineLevel="0" collapsed="false">
      <c r="A405" s="2" t="s">
        <v>50</v>
      </c>
      <c r="B405" s="2" t="s">
        <v>476</v>
      </c>
      <c r="C405" s="2" t="n">
        <v>114</v>
      </c>
      <c r="D405" s="2" t="s">
        <v>52</v>
      </c>
      <c r="E405" s="2" t="s">
        <v>498</v>
      </c>
      <c r="F405" s="6" t="n">
        <f aca="false">COUNTIF(dados!$I$2:$I$1028,E405)</f>
        <v>1</v>
      </c>
      <c r="G405" s="10" t="n">
        <f aca="false">SUMIFS(dados!$M$2:$M$1028,dados!$I$2:$I$1028,E405)</f>
        <v>0.0086659866513537</v>
      </c>
      <c r="H405" s="7" t="n">
        <f aca="false">SQRT(G405*40000/PI())</f>
        <v>10.5042262440651</v>
      </c>
      <c r="I405" s="11" t="n">
        <f aca="false">_xlfn.MAXIFS(dados!$N$2:$N$1028,dados!$I$2:$I$1028,E405)</f>
        <v>11</v>
      </c>
      <c r="J405" s="3"/>
      <c r="K405" s="3"/>
    </row>
    <row r="406" customFormat="false" ht="15" hidden="false" customHeight="false" outlineLevel="0" collapsed="false">
      <c r="A406" s="2" t="s">
        <v>50</v>
      </c>
      <c r="B406" s="2" t="s">
        <v>476</v>
      </c>
      <c r="C406" s="2" t="n">
        <v>115</v>
      </c>
      <c r="D406" s="2" t="s">
        <v>37</v>
      </c>
      <c r="E406" s="2" t="s">
        <v>499</v>
      </c>
      <c r="F406" s="6" t="n">
        <f aca="false">COUNTIF(dados!$I$2:$I$1028,E406)</f>
        <v>1</v>
      </c>
      <c r="G406" s="10" t="n">
        <f aca="false">SUMIFS(dados!$M$2:$M$1028,dados!$I$2:$I$1028,E406)</f>
        <v>0.0240721851426492</v>
      </c>
      <c r="H406" s="7" t="n">
        <f aca="false">SQRT(G406*40000/PI())</f>
        <v>17.5070437401085</v>
      </c>
      <c r="I406" s="11" t="n">
        <f aca="false">_xlfn.MAXIFS(dados!$N$2:$N$1028,dados!$I$2:$I$1028,E406)</f>
        <v>13</v>
      </c>
      <c r="J406" s="3"/>
      <c r="K406" s="3"/>
    </row>
    <row r="407" customFormat="false" ht="15" hidden="false" customHeight="false" outlineLevel="0" collapsed="false">
      <c r="A407" s="2" t="s">
        <v>50</v>
      </c>
      <c r="B407" s="2" t="s">
        <v>476</v>
      </c>
      <c r="C407" s="2" t="n">
        <v>116</v>
      </c>
      <c r="D407" s="2" t="s">
        <v>37</v>
      </c>
      <c r="E407" s="2" t="s">
        <v>500</v>
      </c>
      <c r="F407" s="6" t="n">
        <f aca="false">COUNTIF(dados!$I$2:$I$1028,E407)</f>
        <v>1</v>
      </c>
      <c r="G407" s="10" t="n">
        <f aca="false">SUMIFS(dados!$M$2:$M$1028,dados!$I$2:$I$1028,E407)</f>
        <v>0.0305895800622623</v>
      </c>
      <c r="H407" s="7" t="n">
        <f aca="false">SQRT(G407*40000/PI())</f>
        <v>19.735212943395</v>
      </c>
      <c r="I407" s="11" t="n">
        <f aca="false">_xlfn.MAXIFS(dados!$N$2:$N$1028,dados!$I$2:$I$1028,E407)</f>
        <v>13</v>
      </c>
      <c r="J407" s="3"/>
      <c r="K407" s="3"/>
    </row>
    <row r="408" customFormat="false" ht="15" hidden="false" customHeight="false" outlineLevel="0" collapsed="false">
      <c r="A408" s="2" t="s">
        <v>50</v>
      </c>
      <c r="B408" s="2" t="s">
        <v>476</v>
      </c>
      <c r="C408" s="2" t="n">
        <v>117</v>
      </c>
      <c r="D408" s="2" t="s">
        <v>37</v>
      </c>
      <c r="E408" s="2" t="s">
        <v>501</v>
      </c>
      <c r="F408" s="6" t="n">
        <f aca="false">COUNTIF(dados!$I$2:$I$1028,E408)</f>
        <v>1</v>
      </c>
      <c r="G408" s="10" t="n">
        <f aca="false">SUMIFS(dados!$M$2:$M$1028,dados!$I$2:$I$1028,E408)</f>
        <v>0.020698100349101</v>
      </c>
      <c r="H408" s="7" t="n">
        <f aca="false">SQRT(G408*40000/PI())</f>
        <v>16.2338041953733</v>
      </c>
      <c r="I408" s="11" t="n">
        <f aca="false">_xlfn.MAXIFS(dados!$N$2:$N$1028,dados!$I$2:$I$1028,E408)</f>
        <v>13</v>
      </c>
      <c r="J408" s="3"/>
      <c r="K408" s="3"/>
    </row>
    <row r="409" customFormat="false" ht="15" hidden="false" customHeight="false" outlineLevel="0" collapsed="false">
      <c r="A409" s="2" t="s">
        <v>50</v>
      </c>
      <c r="B409" s="2" t="s">
        <v>476</v>
      </c>
      <c r="C409" s="2" t="n">
        <v>117</v>
      </c>
      <c r="D409" s="2" t="s">
        <v>44</v>
      </c>
      <c r="E409" s="2" t="s">
        <v>502</v>
      </c>
      <c r="F409" s="6" t="n">
        <f aca="false">COUNTIF(dados!$I$2:$I$1028,E409)</f>
        <v>1</v>
      </c>
      <c r="G409" s="10" t="n">
        <f aca="false">SUMIFS(dados!$M$2:$M$1028,dados!$I$2:$I$1028,E409)</f>
        <v>0.0108941558546402</v>
      </c>
      <c r="H409" s="7" t="n">
        <f aca="false">SQRT(G409*40000/PI())</f>
        <v>11.7774657888003</v>
      </c>
      <c r="I409" s="11" t="n">
        <f aca="false">_xlfn.MAXIFS(dados!$N$2:$N$1028,dados!$I$2:$I$1028,E409)</f>
        <v>9</v>
      </c>
      <c r="J409" s="3"/>
      <c r="K409" s="3"/>
    </row>
    <row r="410" customFormat="false" ht="15" hidden="false" customHeight="false" outlineLevel="0" collapsed="false">
      <c r="A410" s="2" t="s">
        <v>50</v>
      </c>
      <c r="B410" s="2" t="s">
        <v>476</v>
      </c>
      <c r="C410" s="2" t="n">
        <v>118</v>
      </c>
      <c r="D410" s="2" t="s">
        <v>52</v>
      </c>
      <c r="E410" s="2" t="s">
        <v>503</v>
      </c>
      <c r="F410" s="6" t="n">
        <f aca="false">COUNTIF(dados!$I$2:$I$1028,E410)</f>
        <v>1</v>
      </c>
      <c r="G410" s="10" t="n">
        <f aca="false">SUMIFS(dados!$M$2:$M$1028,dados!$I$2:$I$1028,E410)</f>
        <v>0.0133769729668738</v>
      </c>
      <c r="H410" s="7" t="n">
        <f aca="false">SQRT(G410*40000/PI())</f>
        <v>13.0507053335354</v>
      </c>
      <c r="I410" s="11" t="n">
        <f aca="false">_xlfn.MAXIFS(dados!$N$2:$N$1028,dados!$I$2:$I$1028,E410)</f>
        <v>7</v>
      </c>
      <c r="J410" s="3"/>
      <c r="K410" s="3"/>
    </row>
    <row r="411" customFormat="false" ht="15" hidden="false" customHeight="false" outlineLevel="0" collapsed="false">
      <c r="A411" s="2" t="s">
        <v>50</v>
      </c>
      <c r="B411" s="2" t="s">
        <v>476</v>
      </c>
      <c r="C411" s="2" t="n">
        <v>119</v>
      </c>
      <c r="D411" s="2" t="s">
        <v>37</v>
      </c>
      <c r="E411" s="2" t="s">
        <v>504</v>
      </c>
      <c r="F411" s="6" t="n">
        <f aca="false">COUNTIF(dados!$I$2:$I$1028,E411)</f>
        <v>2</v>
      </c>
      <c r="G411" s="10" t="n">
        <f aca="false">SUMIFS(dados!$M$2:$M$1028,dados!$I$2:$I$1028,E411)</f>
        <v>0.02700063609554</v>
      </c>
      <c r="H411" s="7" t="n">
        <f aca="false">SQRT(G411*40000/PI())</f>
        <v>18.5413801023131</v>
      </c>
      <c r="I411" s="11" t="n">
        <f aca="false">_xlfn.MAXIFS(dados!$N$2:$N$1028,dados!$I$2:$I$1028,E411)</f>
        <v>9</v>
      </c>
      <c r="J411" s="3"/>
      <c r="K411" s="3"/>
    </row>
    <row r="412" customFormat="false" ht="15" hidden="false" customHeight="false" outlineLevel="0" collapsed="false">
      <c r="A412" s="2" t="s">
        <v>50</v>
      </c>
      <c r="B412" s="2" t="s">
        <v>476</v>
      </c>
      <c r="C412" s="2" t="n">
        <v>120</v>
      </c>
      <c r="D412" s="2" t="s">
        <v>37</v>
      </c>
      <c r="E412" s="2" t="s">
        <v>505</v>
      </c>
      <c r="F412" s="6" t="n">
        <f aca="false">COUNTIF(dados!$I$2:$I$1028,E412)</f>
        <v>2</v>
      </c>
      <c r="G412" s="10" t="n">
        <f aca="false">SUMIFS(dados!$M$2:$M$1028,dados!$I$2:$I$1028,E412)</f>
        <v>0.03534831286071</v>
      </c>
      <c r="H412" s="7" t="n">
        <f aca="false">SQRT(G412*40000/PI())</f>
        <v>21.2148225950458</v>
      </c>
      <c r="I412" s="11" t="n">
        <f aca="false">_xlfn.MAXIFS(dados!$N$2:$N$1028,dados!$I$2:$I$1028,E412)</f>
        <v>11</v>
      </c>
      <c r="J412" s="3"/>
      <c r="K412" s="3"/>
    </row>
    <row r="413" customFormat="false" ht="15" hidden="false" customHeight="false" outlineLevel="0" collapsed="false">
      <c r="A413" s="2" t="s">
        <v>50</v>
      </c>
      <c r="B413" s="2" t="s">
        <v>476</v>
      </c>
      <c r="C413" s="2" t="n">
        <v>121</v>
      </c>
      <c r="D413" s="2" t="s">
        <v>37</v>
      </c>
      <c r="E413" s="2" t="s">
        <v>506</v>
      </c>
      <c r="F413" s="6" t="n">
        <f aca="false">COUNTIF(dados!$I$2:$I$1028,E413)</f>
        <v>2</v>
      </c>
      <c r="G413" s="10" t="n">
        <f aca="false">SUMIFS(dados!$M$2:$M$1028,dados!$I$2:$I$1028,E413)</f>
        <v>0.00931056417087588</v>
      </c>
      <c r="H413" s="7" t="n">
        <f aca="false">SQRT(G413*40000/PI())</f>
        <v>10.8878732937859</v>
      </c>
      <c r="I413" s="11" t="n">
        <f aca="false">_xlfn.MAXIFS(dados!$N$2:$N$1028,dados!$I$2:$I$1028,E413)</f>
        <v>6</v>
      </c>
      <c r="J413" s="3"/>
      <c r="K413" s="3"/>
    </row>
    <row r="414" customFormat="false" ht="15" hidden="false" customHeight="false" outlineLevel="0" collapsed="false">
      <c r="A414" s="2" t="s">
        <v>50</v>
      </c>
      <c r="B414" s="2" t="s">
        <v>476</v>
      </c>
      <c r="C414" s="2" t="n">
        <v>122</v>
      </c>
      <c r="D414" s="2" t="s">
        <v>37</v>
      </c>
      <c r="E414" s="2" t="s">
        <v>507</v>
      </c>
      <c r="F414" s="6" t="n">
        <f aca="false">COUNTIF(dados!$I$2:$I$1028,E414)</f>
        <v>1</v>
      </c>
      <c r="G414" s="10" t="n">
        <f aca="false">SUMIFS(dados!$M$2:$M$1028,dados!$I$2:$I$1028,E414)</f>
        <v>0.00716197243913529</v>
      </c>
      <c r="H414" s="7" t="n">
        <f aca="false">SQRT(G414*40000/PI())</f>
        <v>9.54929658551372</v>
      </c>
      <c r="I414" s="11" t="n">
        <f aca="false">_xlfn.MAXIFS(dados!$N$2:$N$1028,dados!$I$2:$I$1028,E414)</f>
        <v>7</v>
      </c>
      <c r="J414" s="3"/>
      <c r="K414" s="3"/>
    </row>
    <row r="415" customFormat="false" ht="15" hidden="false" customHeight="false" outlineLevel="0" collapsed="false">
      <c r="A415" s="2" t="s">
        <v>50</v>
      </c>
      <c r="B415" s="2" t="s">
        <v>476</v>
      </c>
      <c r="C415" s="2" t="n">
        <v>123</v>
      </c>
      <c r="D415" s="2" t="s">
        <v>37</v>
      </c>
      <c r="E415" s="2" t="s">
        <v>508</v>
      </c>
      <c r="F415" s="6" t="n">
        <f aca="false">COUNTIF(dados!$I$2:$I$1028,E415)</f>
        <v>1</v>
      </c>
      <c r="G415" s="10" t="n">
        <f aca="false">SUMIFS(dados!$M$2:$M$1028,dados!$I$2:$I$1028,E415)</f>
        <v>0.00385154962282387</v>
      </c>
      <c r="H415" s="7" t="n">
        <f aca="false">SQRT(G415*40000/PI())</f>
        <v>7.0028174960434</v>
      </c>
      <c r="I415" s="11" t="n">
        <f aca="false">_xlfn.MAXIFS(dados!$N$2:$N$1028,dados!$I$2:$I$1028,E415)</f>
        <v>6</v>
      </c>
      <c r="J415" s="3"/>
      <c r="K415" s="3"/>
    </row>
    <row r="416" customFormat="false" ht="15" hidden="false" customHeight="false" outlineLevel="0" collapsed="false">
      <c r="A416" s="2" t="s">
        <v>50</v>
      </c>
      <c r="B416" s="2" t="s">
        <v>476</v>
      </c>
      <c r="C416" s="2" t="n">
        <v>124</v>
      </c>
      <c r="D416" s="2" t="s">
        <v>37</v>
      </c>
      <c r="E416" s="2" t="s">
        <v>509</v>
      </c>
      <c r="F416" s="6" t="n">
        <f aca="false">COUNTIF(dados!$I$2:$I$1028,E416)</f>
        <v>1</v>
      </c>
      <c r="G416" s="10" t="n">
        <f aca="false">SUMIFS(dados!$M$2:$M$1028,dados!$I$2:$I$1028,E416)</f>
        <v>0.0286478897565412</v>
      </c>
      <c r="H416" s="7" t="n">
        <f aca="false">SQRT(G416*40000/PI())</f>
        <v>19.0985931710274</v>
      </c>
      <c r="I416" s="11" t="n">
        <f aca="false">_xlfn.MAXIFS(dados!$N$2:$N$1028,dados!$I$2:$I$1028,E416)</f>
        <v>14</v>
      </c>
      <c r="J416" s="3"/>
      <c r="K416" s="3"/>
    </row>
    <row r="417" customFormat="false" ht="15" hidden="false" customHeight="false" outlineLevel="0" collapsed="false">
      <c r="A417" s="2" t="s">
        <v>50</v>
      </c>
      <c r="B417" s="2" t="s">
        <v>476</v>
      </c>
      <c r="C417" s="2" t="n">
        <v>125</v>
      </c>
      <c r="D417" s="2" t="s">
        <v>37</v>
      </c>
      <c r="E417" s="2" t="s">
        <v>510</v>
      </c>
      <c r="F417" s="6" t="n">
        <f aca="false">COUNTIF(dados!$I$2:$I$1028,E417)</f>
        <v>2</v>
      </c>
      <c r="G417" s="10" t="n">
        <f aca="false">SUMIFS(dados!$M$2:$M$1028,dados!$I$2:$I$1028,E417)</f>
        <v>0.024271128821514</v>
      </c>
      <c r="H417" s="7" t="n">
        <f aca="false">SQRT(G417*40000/PI())</f>
        <v>17.5792380411988</v>
      </c>
      <c r="I417" s="11" t="n">
        <f aca="false">_xlfn.MAXIFS(dados!$N$2:$N$1028,dados!$I$2:$I$1028,E417)</f>
        <v>12</v>
      </c>
      <c r="J417" s="3"/>
      <c r="K417" s="3"/>
    </row>
    <row r="418" customFormat="false" ht="15" hidden="false" customHeight="false" outlineLevel="0" collapsed="false">
      <c r="A418" s="2" t="s">
        <v>50</v>
      </c>
      <c r="B418" s="2" t="s">
        <v>476</v>
      </c>
      <c r="C418" s="2" t="n">
        <v>126</v>
      </c>
      <c r="D418" s="2" t="s">
        <v>37</v>
      </c>
      <c r="E418" s="2" t="s">
        <v>511</v>
      </c>
      <c r="F418" s="6" t="n">
        <f aca="false">COUNTIF(dados!$I$2:$I$1028,E418)</f>
        <v>1</v>
      </c>
      <c r="G418" s="10" t="n">
        <f aca="false">SUMIFS(dados!$M$2:$M$1028,dados!$I$2:$I$1028,E418)</f>
        <v>0.0140374659807052</v>
      </c>
      <c r="H418" s="7" t="n">
        <f aca="false">SQRT(G418*40000/PI())</f>
        <v>13.3690152197192</v>
      </c>
      <c r="I418" s="11" t="n">
        <f aca="false">_xlfn.MAXIFS(dados!$N$2:$N$1028,dados!$I$2:$I$1028,E418)</f>
        <v>10</v>
      </c>
      <c r="J418" s="3"/>
      <c r="K418" s="3"/>
    </row>
    <row r="419" customFormat="false" ht="15" hidden="false" customHeight="false" outlineLevel="0" collapsed="false">
      <c r="A419" s="2" t="s">
        <v>50</v>
      </c>
      <c r="B419" s="2" t="s">
        <v>476</v>
      </c>
      <c r="C419" s="2" t="n">
        <v>127</v>
      </c>
      <c r="D419" s="2" t="s">
        <v>37</v>
      </c>
      <c r="E419" s="2" t="s">
        <v>512</v>
      </c>
      <c r="F419" s="6" t="n">
        <f aca="false">COUNTIF(dados!$I$2:$I$1028,E419)</f>
        <v>1</v>
      </c>
      <c r="G419" s="10" t="n">
        <f aca="false">SUMIFS(dados!$M$2:$M$1028,dados!$I$2:$I$1028,E419)</f>
        <v>0.00458366236104659</v>
      </c>
      <c r="H419" s="7" t="n">
        <f aca="false">SQRT(G419*40000/PI())</f>
        <v>7.63943726841098</v>
      </c>
      <c r="I419" s="11" t="n">
        <f aca="false">_xlfn.MAXIFS(dados!$N$2:$N$1028,dados!$I$2:$I$1028,E419)</f>
        <v>7</v>
      </c>
      <c r="J419" s="3"/>
      <c r="K419" s="3"/>
    </row>
    <row r="420" customFormat="false" ht="15" hidden="false" customHeight="false" outlineLevel="0" collapsed="false">
      <c r="A420" s="2" t="s">
        <v>50</v>
      </c>
      <c r="B420" s="2" t="s">
        <v>476</v>
      </c>
      <c r="C420" s="2" t="n">
        <v>128</v>
      </c>
      <c r="D420" s="2" t="s">
        <v>37</v>
      </c>
      <c r="E420" s="2" t="s">
        <v>513</v>
      </c>
      <c r="F420" s="6" t="n">
        <f aca="false">COUNTIF(dados!$I$2:$I$1028,E420)</f>
        <v>1</v>
      </c>
      <c r="G420" s="10" t="n">
        <f aca="false">SUMIFS(dados!$M$2:$M$1028,dados!$I$2:$I$1028,E420)</f>
        <v>0.0223533117572567</v>
      </c>
      <c r="H420" s="7" t="n">
        <f aca="false">SQRT(G420*40000/PI())</f>
        <v>16.8704239677409</v>
      </c>
      <c r="I420" s="11" t="n">
        <f aca="false">_xlfn.MAXIFS(dados!$N$2:$N$1028,dados!$I$2:$I$1028,E420)</f>
        <v>13</v>
      </c>
      <c r="J420" s="3"/>
      <c r="K420" s="3"/>
    </row>
    <row r="421" customFormat="false" ht="15" hidden="false" customHeight="false" outlineLevel="0" collapsed="false">
      <c r="A421" s="2" t="s">
        <v>50</v>
      </c>
      <c r="B421" s="2" t="s">
        <v>476</v>
      </c>
      <c r="C421" s="2" t="n">
        <v>129</v>
      </c>
      <c r="D421" s="2" t="s">
        <v>66</v>
      </c>
      <c r="E421" s="2" t="s">
        <v>514</v>
      </c>
      <c r="F421" s="6" t="n">
        <f aca="false">COUNTIF(dados!$I$2:$I$1028,E421)</f>
        <v>1</v>
      </c>
      <c r="G421" s="10" t="n">
        <f aca="false">SUMIFS(dados!$M$2:$M$1028,dados!$I$2:$I$1028,E421)</f>
        <v>0.0114909868912348</v>
      </c>
      <c r="H421" s="7" t="n">
        <f aca="false">SQRT(G421*40000/PI())</f>
        <v>12.095775674984</v>
      </c>
      <c r="I421" s="11" t="n">
        <f aca="false">_xlfn.MAXIFS(dados!$N$2:$N$1028,dados!$I$2:$I$1028,E421)</f>
        <v>8</v>
      </c>
      <c r="J421" s="3"/>
      <c r="K421" s="3"/>
    </row>
    <row r="422" customFormat="false" ht="15" hidden="false" customHeight="false" outlineLevel="0" collapsed="false">
      <c r="A422" s="2" t="s">
        <v>50</v>
      </c>
      <c r="B422" s="2" t="s">
        <v>476</v>
      </c>
      <c r="C422" s="2" t="n">
        <v>130</v>
      </c>
      <c r="D422" s="2" t="s">
        <v>68</v>
      </c>
      <c r="E422" s="2" t="s">
        <v>515</v>
      </c>
      <c r="F422" s="6" t="n">
        <f aca="false">COUNTIF(dados!$I$2:$I$1028,E422)</f>
        <v>1</v>
      </c>
      <c r="G422" s="10" t="n">
        <f aca="false">SUMIFS(dados!$M$2:$M$1028,dados!$I$2:$I$1028,E422)</f>
        <v>0.0066924653570142</v>
      </c>
      <c r="H422" s="7" t="n">
        <f aca="false">SQRT(G422*40000/PI())</f>
        <v>9.23098669932993</v>
      </c>
      <c r="I422" s="11" t="n">
        <f aca="false">_xlfn.MAXIFS(dados!$N$2:$N$1028,dados!$I$2:$I$1028,E422)</f>
        <v>9</v>
      </c>
      <c r="J422" s="3"/>
      <c r="K422" s="3"/>
    </row>
    <row r="423" customFormat="false" ht="15" hidden="false" customHeight="false" outlineLevel="0" collapsed="false">
      <c r="A423" s="2" t="s">
        <v>50</v>
      </c>
      <c r="B423" s="2" t="s">
        <v>476</v>
      </c>
      <c r="C423" s="2" t="n">
        <v>131</v>
      </c>
      <c r="D423" s="2" t="s">
        <v>37</v>
      </c>
      <c r="E423" s="2" t="s">
        <v>516</v>
      </c>
      <c r="F423" s="6" t="n">
        <f aca="false">COUNTIF(dados!$I$2:$I$1028,E423)</f>
        <v>1</v>
      </c>
      <c r="G423" s="10" t="n">
        <f aca="false">SUMIFS(dados!$M$2:$M$1028,dados!$I$2:$I$1028,E423)</f>
        <v>0.0121037334221386</v>
      </c>
      <c r="H423" s="7" t="n">
        <f aca="false">SQRT(G423*40000/PI())</f>
        <v>12.4140855611678</v>
      </c>
      <c r="I423" s="11" t="n">
        <f aca="false">_xlfn.MAXIFS(dados!$N$2:$N$1028,dados!$I$2:$I$1028,E423)</f>
        <v>11</v>
      </c>
      <c r="J423" s="3"/>
      <c r="K423" s="3"/>
    </row>
    <row r="424" customFormat="false" ht="15" hidden="false" customHeight="false" outlineLevel="0" collapsed="false">
      <c r="A424" s="2" t="s">
        <v>50</v>
      </c>
      <c r="B424" s="2" t="s">
        <v>517</v>
      </c>
      <c r="C424" s="2" t="n">
        <v>131</v>
      </c>
      <c r="D424" s="2" t="s">
        <v>37</v>
      </c>
      <c r="E424" s="2" t="s">
        <v>518</v>
      </c>
      <c r="F424" s="6" t="n">
        <f aca="false">COUNTIF(dados!$I$2:$I$1028,E424)</f>
        <v>1</v>
      </c>
      <c r="G424" s="10" t="n">
        <f aca="false">SUMIFS(dados!$M$2:$M$1028,dados!$I$2:$I$1028,E424)</f>
        <v>0.0103132403123548</v>
      </c>
      <c r="H424" s="7" t="n">
        <f aca="false">SQRT(G424*40000/PI())</f>
        <v>11.4591559026165</v>
      </c>
      <c r="I424" s="11" t="n">
        <f aca="false">_xlfn.MAXIFS(dados!$N$2:$N$1028,dados!$I$2:$I$1028,E424)</f>
        <v>11</v>
      </c>
      <c r="J424" s="3"/>
      <c r="K424" s="3"/>
    </row>
    <row r="425" customFormat="false" ht="15" hidden="false" customHeight="false" outlineLevel="0" collapsed="false">
      <c r="A425" s="2" t="s">
        <v>50</v>
      </c>
      <c r="B425" s="2" t="s">
        <v>517</v>
      </c>
      <c r="C425" s="2" t="n">
        <v>132</v>
      </c>
      <c r="D425" s="2" t="s">
        <v>37</v>
      </c>
      <c r="E425" s="2" t="s">
        <v>519</v>
      </c>
      <c r="F425" s="6" t="n">
        <f aca="false">COUNTIF(dados!$I$2:$I$1028,E425)</f>
        <v>2</v>
      </c>
      <c r="G425" s="10" t="n">
        <f aca="false">SUMIFS(dados!$M$2:$M$1028,dados!$I$2:$I$1028,E425)</f>
        <v>0.0207299313377194</v>
      </c>
      <c r="H425" s="7" t="n">
        <f aca="false">SQRT(G425*40000/PI())</f>
        <v>16.2462821404865</v>
      </c>
      <c r="I425" s="11" t="n">
        <f aca="false">_xlfn.MAXIFS(dados!$N$2:$N$1028,dados!$I$2:$I$1028,E425)</f>
        <v>12</v>
      </c>
      <c r="J425" s="3"/>
      <c r="K425" s="3"/>
    </row>
    <row r="426" customFormat="false" ht="15" hidden="false" customHeight="false" outlineLevel="0" collapsed="false">
      <c r="A426" s="2" t="s">
        <v>50</v>
      </c>
      <c r="B426" s="2" t="s">
        <v>517</v>
      </c>
      <c r="C426" s="2" t="n">
        <v>133</v>
      </c>
      <c r="D426" s="2" t="s">
        <v>37</v>
      </c>
      <c r="E426" s="2" t="s">
        <v>520</v>
      </c>
      <c r="F426" s="6" t="n">
        <f aca="false">COUNTIF(dados!$I$2:$I$1028,E426)</f>
        <v>1</v>
      </c>
      <c r="G426" s="10" t="n">
        <f aca="false">SUMIFS(dados!$M$2:$M$1028,dados!$I$2:$I$1028,E426)</f>
        <v>0.00385154962282387</v>
      </c>
      <c r="H426" s="7" t="n">
        <f aca="false">SQRT(G426*40000/PI())</f>
        <v>7.0028174960434</v>
      </c>
      <c r="I426" s="11" t="n">
        <f aca="false">_xlfn.MAXIFS(dados!$N$2:$N$1028,dados!$I$2:$I$1028,E426)</f>
        <v>8</v>
      </c>
      <c r="J426" s="3"/>
      <c r="K426" s="3"/>
    </row>
    <row r="427" customFormat="false" ht="15" hidden="false" customHeight="false" outlineLevel="0" collapsed="false">
      <c r="A427" s="2" t="s">
        <v>50</v>
      </c>
      <c r="B427" s="2" t="s">
        <v>517</v>
      </c>
      <c r="C427" s="2" t="n">
        <v>134</v>
      </c>
      <c r="D427" s="2" t="s">
        <v>37</v>
      </c>
      <c r="E427" s="2" t="s">
        <v>521</v>
      </c>
      <c r="F427" s="6" t="n">
        <f aca="false">COUNTIF(dados!$I$2:$I$1028,E427)</f>
        <v>1</v>
      </c>
      <c r="G427" s="10" t="n">
        <f aca="false">SUMIFS(dados!$M$2:$M$1028,dados!$I$2:$I$1028,E427)</f>
        <v>0.0198943678864869</v>
      </c>
      <c r="H427" s="7" t="n">
        <f aca="false">SQRT(G427*40000/PI())</f>
        <v>15.9154943091895</v>
      </c>
      <c r="I427" s="11" t="n">
        <f aca="false">_xlfn.MAXIFS(dados!$N$2:$N$1028,dados!$I$2:$I$1028,E427)</f>
        <v>12</v>
      </c>
      <c r="J427" s="3"/>
      <c r="K427" s="3"/>
    </row>
    <row r="428" customFormat="false" ht="15" hidden="false" customHeight="false" outlineLevel="0" collapsed="false">
      <c r="A428" s="2" t="s">
        <v>50</v>
      </c>
      <c r="B428" s="2" t="s">
        <v>517</v>
      </c>
      <c r="C428" s="2" t="n">
        <v>135</v>
      </c>
      <c r="D428" s="2" t="s">
        <v>44</v>
      </c>
      <c r="E428" s="2" t="s">
        <v>522</v>
      </c>
      <c r="F428" s="6" t="n">
        <f aca="false">COUNTIF(dados!$I$2:$I$1028,E428)</f>
        <v>1</v>
      </c>
      <c r="G428" s="10" t="n">
        <f aca="false">SUMIFS(dados!$M$2:$M$1028,dados!$I$2:$I$1028,E428)</f>
        <v>0.00203718327157626</v>
      </c>
      <c r="H428" s="7" t="n">
        <f aca="false">SQRT(G428*40000/PI())</f>
        <v>5.09295817894065</v>
      </c>
      <c r="I428" s="11" t="n">
        <f aca="false">_xlfn.MAXIFS(dados!$N$2:$N$1028,dados!$I$2:$I$1028,E428)</f>
        <v>10</v>
      </c>
      <c r="J428" s="3"/>
      <c r="K428" s="3"/>
    </row>
    <row r="429" customFormat="false" ht="15" hidden="false" customHeight="false" outlineLevel="0" collapsed="false">
      <c r="A429" s="2" t="s">
        <v>50</v>
      </c>
      <c r="B429" s="2" t="s">
        <v>517</v>
      </c>
      <c r="C429" s="2" t="n">
        <v>136</v>
      </c>
      <c r="D429" s="2" t="s">
        <v>37</v>
      </c>
      <c r="E429" s="2" t="s">
        <v>523</v>
      </c>
      <c r="F429" s="6" t="n">
        <f aca="false">COUNTIF(dados!$I$2:$I$1028,E429)</f>
        <v>1</v>
      </c>
      <c r="G429" s="10" t="n">
        <f aca="false">SUMIFS(dados!$M$2:$M$1028,dados!$I$2:$I$1028,E429)</f>
        <v>0.0066924653570142</v>
      </c>
      <c r="H429" s="7" t="n">
        <f aca="false">SQRT(G429*40000/PI())</f>
        <v>9.23098669932993</v>
      </c>
      <c r="I429" s="11" t="n">
        <f aca="false">_xlfn.MAXIFS(dados!$N$2:$N$1028,dados!$I$2:$I$1028,E429)</f>
        <v>8</v>
      </c>
      <c r="J429" s="3"/>
      <c r="K429" s="3"/>
    </row>
    <row r="430" customFormat="false" ht="15" hidden="false" customHeight="false" outlineLevel="0" collapsed="false">
      <c r="A430" s="2" t="s">
        <v>50</v>
      </c>
      <c r="B430" s="2" t="s">
        <v>517</v>
      </c>
      <c r="C430" s="2" t="n">
        <v>137</v>
      </c>
      <c r="D430" s="2" t="s">
        <v>37</v>
      </c>
      <c r="E430" s="2" t="s">
        <v>524</v>
      </c>
      <c r="F430" s="6" t="n">
        <f aca="false">COUNTIF(dados!$I$2:$I$1028,E430)</f>
        <v>2</v>
      </c>
      <c r="G430" s="10" t="n">
        <f aca="false">SUMIFS(dados!$M$2:$M$1028,dados!$I$2:$I$1028,E430)</f>
        <v>0.0224169737344935</v>
      </c>
      <c r="H430" s="7" t="n">
        <f aca="false">SQRT(G430*40000/PI())</f>
        <v>16.8944302751074</v>
      </c>
      <c r="I430" s="11" t="n">
        <f aca="false">_xlfn.MAXIFS(dados!$N$2:$N$1028,dados!$I$2:$I$1028,E430)</f>
        <v>10</v>
      </c>
      <c r="J430" s="3"/>
      <c r="K430" s="3"/>
    </row>
    <row r="431" customFormat="false" ht="15" hidden="false" customHeight="false" outlineLevel="0" collapsed="false">
      <c r="A431" s="2" t="s">
        <v>50</v>
      </c>
      <c r="B431" s="2" t="s">
        <v>517</v>
      </c>
      <c r="C431" s="2" t="n">
        <v>138</v>
      </c>
      <c r="D431" s="2" t="s">
        <v>65</v>
      </c>
      <c r="E431" s="2" t="s">
        <v>525</v>
      </c>
      <c r="F431" s="6" t="n">
        <f aca="false">COUNTIF(dados!$I$2:$I$1028,E431)</f>
        <v>1</v>
      </c>
      <c r="G431" s="10" t="n">
        <f aca="false">SUMIFS(dados!$M$2:$M$1028,dados!$I$2:$I$1028,E431)</f>
        <v>0.0232047907027983</v>
      </c>
      <c r="H431" s="7" t="n">
        <f aca="false">SQRT(G431*40000/PI())</f>
        <v>17.1887338539247</v>
      </c>
      <c r="I431" s="11" t="n">
        <f aca="false">_xlfn.MAXIFS(dados!$N$2:$N$1028,dados!$I$2:$I$1028,E431)</f>
        <v>11</v>
      </c>
      <c r="J431" s="3"/>
      <c r="K431" s="3"/>
    </row>
    <row r="432" customFormat="false" ht="15" hidden="false" customHeight="false" outlineLevel="0" collapsed="false">
      <c r="A432" s="2" t="s">
        <v>50</v>
      </c>
      <c r="B432" s="2" t="s">
        <v>517</v>
      </c>
      <c r="C432" s="2" t="n">
        <v>139</v>
      </c>
      <c r="D432" s="2" t="s">
        <v>65</v>
      </c>
      <c r="E432" s="2" t="s">
        <v>526</v>
      </c>
      <c r="F432" s="6" t="n">
        <f aca="false">COUNTIF(dados!$I$2:$I$1028,E432)</f>
        <v>3</v>
      </c>
      <c r="G432" s="10" t="n">
        <f aca="false">SUMIFS(dados!$M$2:$M$1028,dados!$I$2:$I$1028,E432)</f>
        <v>0.0495767647731254</v>
      </c>
      <c r="H432" s="7" t="n">
        <f aca="false">SQRT(G432*40000/PI())</f>
        <v>25.1243104202238</v>
      </c>
      <c r="I432" s="11" t="n">
        <f aca="false">_xlfn.MAXIFS(dados!$N$2:$N$1028,dados!$I$2:$I$1028,E432)</f>
        <v>13</v>
      </c>
      <c r="J432" s="3"/>
      <c r="K432" s="3"/>
    </row>
    <row r="433" customFormat="false" ht="15" hidden="false" customHeight="false" outlineLevel="0" collapsed="false">
      <c r="A433" s="2" t="s">
        <v>50</v>
      </c>
      <c r="B433" s="2" t="s">
        <v>517</v>
      </c>
      <c r="C433" s="2" t="n">
        <v>140</v>
      </c>
      <c r="D433" s="2" t="s">
        <v>37</v>
      </c>
      <c r="E433" s="2" t="s">
        <v>527</v>
      </c>
      <c r="F433" s="6" t="n">
        <f aca="false">COUNTIF(dados!$I$2:$I$1028,E433)</f>
        <v>1</v>
      </c>
      <c r="G433" s="10" t="n">
        <f aca="false">SUMIFS(dados!$M$2:$M$1028,dados!$I$2:$I$1028,E433)</f>
        <v>0.00385154962282387</v>
      </c>
      <c r="H433" s="7" t="n">
        <f aca="false">SQRT(G433*40000/PI())</f>
        <v>7.0028174960434</v>
      </c>
      <c r="I433" s="11" t="n">
        <f aca="false">_xlfn.MAXIFS(dados!$N$2:$N$1028,dados!$I$2:$I$1028,E433)</f>
        <v>6</v>
      </c>
      <c r="J433" s="3"/>
      <c r="K433" s="3"/>
    </row>
    <row r="434" customFormat="false" ht="15" hidden="false" customHeight="false" outlineLevel="0" collapsed="false">
      <c r="A434" s="2" t="s">
        <v>50</v>
      </c>
      <c r="B434" s="2" t="s">
        <v>517</v>
      </c>
      <c r="C434" s="2" t="n">
        <v>141</v>
      </c>
      <c r="D434" s="2" t="s">
        <v>37</v>
      </c>
      <c r="E434" s="2" t="s">
        <v>528</v>
      </c>
      <c r="F434" s="6" t="n">
        <f aca="false">COUNTIF(dados!$I$2:$I$1028,E434)</f>
        <v>1</v>
      </c>
      <c r="G434" s="10" t="n">
        <f aca="false">SUMIFS(dados!$M$2:$M$1028,dados!$I$2:$I$1028,E434)</f>
        <v>0.00350936649517629</v>
      </c>
      <c r="H434" s="7" t="n">
        <f aca="false">SQRT(G434*40000/PI())</f>
        <v>6.68450760985961</v>
      </c>
      <c r="I434" s="11" t="n">
        <f aca="false">_xlfn.MAXIFS(dados!$N$2:$N$1028,dados!$I$2:$I$1028,E434)</f>
        <v>7</v>
      </c>
      <c r="J434" s="3"/>
      <c r="K434" s="3"/>
    </row>
    <row r="435" customFormat="false" ht="15" hidden="false" customHeight="false" outlineLevel="0" collapsed="false">
      <c r="A435" s="2" t="s">
        <v>50</v>
      </c>
      <c r="B435" s="2" t="s">
        <v>517</v>
      </c>
      <c r="C435" s="2" t="n">
        <v>142</v>
      </c>
      <c r="D435" s="2" t="s">
        <v>37</v>
      </c>
      <c r="E435" s="2" t="s">
        <v>529</v>
      </c>
      <c r="F435" s="6" t="n">
        <f aca="false">COUNTIF(dados!$I$2:$I$1028,E435)</f>
        <v>4</v>
      </c>
      <c r="G435" s="10" t="n">
        <f aca="false">SUMIFS(dados!$M$2:$M$1028,dados!$I$2:$I$1028,E435)</f>
        <v>0.0294595799663098</v>
      </c>
      <c r="H435" s="7" t="n">
        <f aca="false">SQRT(G435*40000/PI())</f>
        <v>19.3672667623476</v>
      </c>
      <c r="I435" s="11" t="n">
        <f aca="false">_xlfn.MAXIFS(dados!$N$2:$N$1028,dados!$I$2:$I$1028,E435)</f>
        <v>15</v>
      </c>
      <c r="J435" s="3"/>
      <c r="K435" s="3"/>
    </row>
    <row r="436" customFormat="false" ht="15" hidden="false" customHeight="false" outlineLevel="0" collapsed="false">
      <c r="A436" s="2" t="s">
        <v>50</v>
      </c>
      <c r="B436" s="2" t="s">
        <v>517</v>
      </c>
      <c r="C436" s="2" t="n">
        <v>143</v>
      </c>
      <c r="D436" s="2" t="s">
        <v>37</v>
      </c>
      <c r="E436" s="2" t="s">
        <v>530</v>
      </c>
      <c r="F436" s="6" t="n">
        <f aca="false">COUNTIF(dados!$I$2:$I$1028,E436)</f>
        <v>3</v>
      </c>
      <c r="G436" s="10" t="n">
        <f aca="false">SUMIFS(dados!$M$2:$M$1028,dados!$I$2:$I$1028,E436)</f>
        <v>0.0306611997866536</v>
      </c>
      <c r="H436" s="7" t="n">
        <f aca="false">SQRT(G436*40000/PI())</f>
        <v>19.7583025731951</v>
      </c>
      <c r="I436" s="11" t="n">
        <f aca="false">_xlfn.MAXIFS(dados!$N$2:$N$1028,dados!$I$2:$I$1028,E436)</f>
        <v>12</v>
      </c>
      <c r="J436" s="3"/>
      <c r="K436" s="3"/>
    </row>
    <row r="437" customFormat="false" ht="15" hidden="false" customHeight="false" outlineLevel="0" collapsed="false">
      <c r="A437" s="2" t="s">
        <v>50</v>
      </c>
      <c r="B437" s="2" t="s">
        <v>517</v>
      </c>
      <c r="C437" s="2" t="n">
        <v>144</v>
      </c>
      <c r="D437" s="2" t="s">
        <v>37</v>
      </c>
      <c r="E437" s="2" t="s">
        <v>531</v>
      </c>
      <c r="F437" s="6" t="n">
        <f aca="false">COUNTIF(dados!$I$2:$I$1028,E437)</f>
        <v>3</v>
      </c>
      <c r="G437" s="10" t="n">
        <f aca="false">SUMIFS(dados!$M$2:$M$1028,dados!$I$2:$I$1028,E437)</f>
        <v>0.0149287336620198</v>
      </c>
      <c r="H437" s="7" t="n">
        <f aca="false">SQRT(G437*40000/PI())</f>
        <v>13.7868974215748</v>
      </c>
      <c r="I437" s="11" t="n">
        <f aca="false">_xlfn.MAXIFS(dados!$N$2:$N$1028,dados!$I$2:$I$1028,E437)</f>
        <v>8</v>
      </c>
      <c r="J437" s="3"/>
      <c r="K437" s="3"/>
    </row>
    <row r="438" customFormat="false" ht="15" hidden="false" customHeight="false" outlineLevel="0" collapsed="false">
      <c r="A438" s="2" t="s">
        <v>50</v>
      </c>
      <c r="B438" s="2" t="s">
        <v>517</v>
      </c>
      <c r="C438" s="2" t="n">
        <v>145</v>
      </c>
      <c r="D438" s="2" t="s">
        <v>65</v>
      </c>
      <c r="E438" s="2" t="s">
        <v>532</v>
      </c>
      <c r="F438" s="6" t="n">
        <f aca="false">COUNTIF(dados!$I$2:$I$1028,E438)</f>
        <v>1</v>
      </c>
      <c r="G438" s="10" t="n">
        <f aca="false">SUMIFS(dados!$M$2:$M$1028,dados!$I$2:$I$1028,E438)</f>
        <v>0.00716197243913529</v>
      </c>
      <c r="H438" s="7" t="n">
        <f aca="false">SQRT(G438*40000/PI())</f>
        <v>9.54929658551372</v>
      </c>
      <c r="I438" s="11" t="n">
        <f aca="false">_xlfn.MAXIFS(dados!$N$2:$N$1028,dados!$I$2:$I$1028,E438)</f>
        <v>8</v>
      </c>
      <c r="J438" s="3"/>
      <c r="K438" s="3"/>
    </row>
    <row r="439" customFormat="false" ht="15" hidden="false" customHeight="false" outlineLevel="0" collapsed="false">
      <c r="A439" s="2" t="s">
        <v>50</v>
      </c>
      <c r="B439" s="2" t="s">
        <v>517</v>
      </c>
      <c r="C439" s="2" t="n">
        <v>146</v>
      </c>
      <c r="D439" s="2" t="s">
        <v>37</v>
      </c>
      <c r="E439" s="2" t="s">
        <v>533</v>
      </c>
      <c r="F439" s="6" t="n">
        <f aca="false">COUNTIF(dados!$I$2:$I$1028,E439)</f>
        <v>5</v>
      </c>
      <c r="G439" s="10" t="n">
        <f aca="false">SUMIFS(dados!$M$2:$M$1028,dados!$I$2:$I$1028,E439)</f>
        <v>0.0292367630459812</v>
      </c>
      <c r="H439" s="7" t="n">
        <f aca="false">SQRT(G439*40000/PI())</f>
        <v>19.293885785449</v>
      </c>
      <c r="I439" s="11" t="n">
        <f aca="false">_xlfn.MAXIFS(dados!$N$2:$N$1028,dados!$I$2:$I$1028,E439)</f>
        <v>7</v>
      </c>
      <c r="J439" s="3"/>
      <c r="K439" s="3"/>
    </row>
    <row r="440" customFormat="false" ht="15" hidden="false" customHeight="false" outlineLevel="0" collapsed="false">
      <c r="A440" s="2" t="s">
        <v>50</v>
      </c>
      <c r="B440" s="2" t="s">
        <v>517</v>
      </c>
      <c r="C440" s="2" t="n">
        <v>147</v>
      </c>
      <c r="D440" s="2" t="s">
        <v>60</v>
      </c>
      <c r="E440" s="2" t="s">
        <v>534</v>
      </c>
      <c r="F440" s="6" t="n">
        <f aca="false">COUNTIF(dados!$I$2:$I$1028,E440)</f>
        <v>1</v>
      </c>
      <c r="G440" s="10" t="n">
        <f aca="false">SUMIFS(dados!$M$2:$M$1028,dados!$I$2:$I$1028,E440)</f>
        <v>0.0277009178451444</v>
      </c>
      <c r="H440" s="7" t="n">
        <f aca="false">SQRT(G440*40000/PI())</f>
        <v>18.7802832848437</v>
      </c>
      <c r="I440" s="11" t="n">
        <f aca="false">_xlfn.MAXIFS(dados!$N$2:$N$1028,dados!$I$2:$I$1028,E440)</f>
        <v>13</v>
      </c>
      <c r="J440" s="3"/>
      <c r="K440" s="3"/>
    </row>
    <row r="441" customFormat="false" ht="15" hidden="false" customHeight="false" outlineLevel="0" collapsed="false">
      <c r="A441" s="2" t="s">
        <v>50</v>
      </c>
      <c r="B441" s="2" t="s">
        <v>517</v>
      </c>
      <c r="C441" s="2" t="n">
        <v>148</v>
      </c>
      <c r="D441" s="2" t="s">
        <v>65</v>
      </c>
      <c r="E441" s="2" t="s">
        <v>535</v>
      </c>
      <c r="F441" s="6" t="n">
        <f aca="false">COUNTIF(dados!$I$2:$I$1028,E441)</f>
        <v>1</v>
      </c>
      <c r="G441" s="10" t="n">
        <f aca="false">SUMIFS(dados!$M$2:$M$1028,dados!$I$2:$I$1028,E441)</f>
        <v>0.00919915571071155</v>
      </c>
      <c r="H441" s="7" t="n">
        <f aca="false">SQRT(G441*40000/PI())</f>
        <v>10.8225361302489</v>
      </c>
      <c r="I441" s="11" t="n">
        <f aca="false">_xlfn.MAXIFS(dados!$N$2:$N$1028,dados!$I$2:$I$1028,E441)</f>
        <v>8</v>
      </c>
      <c r="J441" s="3"/>
      <c r="K441" s="3"/>
    </row>
    <row r="442" customFormat="false" ht="15" hidden="false" customHeight="false" outlineLevel="0" collapsed="false">
      <c r="A442" s="2" t="s">
        <v>50</v>
      </c>
      <c r="B442" s="2" t="s">
        <v>517</v>
      </c>
      <c r="C442" s="2" t="n">
        <v>149</v>
      </c>
      <c r="D442" s="2" t="s">
        <v>65</v>
      </c>
      <c r="E442" s="2" t="s">
        <v>536</v>
      </c>
      <c r="F442" s="6" t="n">
        <f aca="false">COUNTIF(dados!$I$2:$I$1028,E442)</f>
        <v>1</v>
      </c>
      <c r="G442" s="10" t="n">
        <f aca="false">SUMIFS(dados!$M$2:$M$1028,dados!$I$2:$I$1028,E442)</f>
        <v>0.0168385929791225</v>
      </c>
      <c r="H442" s="7" t="n">
        <f aca="false">SQRT(G442*40000/PI())</f>
        <v>14.6422547644544</v>
      </c>
      <c r="I442" s="11" t="n">
        <f aca="false">_xlfn.MAXIFS(dados!$N$2:$N$1028,dados!$I$2:$I$1028,E442)</f>
        <v>10</v>
      </c>
      <c r="J442" s="3"/>
      <c r="K442" s="3"/>
    </row>
    <row r="443" customFormat="false" ht="15" hidden="false" customHeight="false" outlineLevel="0" collapsed="false">
      <c r="A443" s="2" t="s">
        <v>50</v>
      </c>
      <c r="B443" s="2" t="s">
        <v>517</v>
      </c>
      <c r="C443" s="2" t="n">
        <v>150</v>
      </c>
      <c r="D443" s="2" t="s">
        <v>69</v>
      </c>
      <c r="E443" s="2" t="s">
        <v>537</v>
      </c>
      <c r="F443" s="6" t="n">
        <f aca="false">COUNTIF(dados!$I$2:$I$1028,E443)</f>
        <v>2</v>
      </c>
      <c r="G443" s="10" t="n">
        <f aca="false">SUMIFS(dados!$M$2:$M$1028,dados!$I$2:$I$1028,E443)</f>
        <v>0.0163133816669193</v>
      </c>
      <c r="H443" s="7" t="n">
        <f aca="false">SQRT(G443*40000/PI())</f>
        <v>14.4120930633546</v>
      </c>
      <c r="I443" s="11" t="n">
        <f aca="false">_xlfn.MAXIFS(dados!$N$2:$N$1028,dados!$I$2:$I$1028,E443)</f>
        <v>5</v>
      </c>
      <c r="J443" s="3"/>
      <c r="K443" s="3"/>
    </row>
    <row r="444" customFormat="false" ht="15" hidden="false" customHeight="false" outlineLevel="0" collapsed="false">
      <c r="A444" s="2" t="s">
        <v>50</v>
      </c>
      <c r="B444" s="2" t="s">
        <v>517</v>
      </c>
      <c r="C444" s="2" t="n">
        <v>151</v>
      </c>
      <c r="D444" s="2" t="s">
        <v>37</v>
      </c>
      <c r="E444" s="2" t="s">
        <v>538</v>
      </c>
      <c r="F444" s="6" t="n">
        <f aca="false">COUNTIF(dados!$I$2:$I$1028,E444)</f>
        <v>1</v>
      </c>
      <c r="G444" s="10" t="n">
        <f aca="false">SUMIFS(dados!$M$2:$M$1028,dados!$I$2:$I$1028,E444)</f>
        <v>0.0215177483060242</v>
      </c>
      <c r="H444" s="7" t="n">
        <f aca="false">SQRT(G444*40000/PI())</f>
        <v>16.5521140815571</v>
      </c>
      <c r="I444" s="11" t="n">
        <f aca="false">_xlfn.MAXIFS(dados!$N$2:$N$1028,dados!$I$2:$I$1028,E444)</f>
        <v>9</v>
      </c>
      <c r="J444" s="3"/>
      <c r="K444" s="3"/>
    </row>
    <row r="445" customFormat="false" ht="15" hidden="false" customHeight="false" outlineLevel="0" collapsed="false">
      <c r="A445" s="2" t="s">
        <v>50</v>
      </c>
      <c r="B445" s="2" t="s">
        <v>517</v>
      </c>
      <c r="C445" s="2" t="n">
        <v>152</v>
      </c>
      <c r="D445" s="2" t="s">
        <v>37</v>
      </c>
      <c r="E445" s="2" t="s">
        <v>539</v>
      </c>
      <c r="F445" s="6" t="n">
        <f aca="false">COUNTIF(dados!$I$2:$I$1028,E445)</f>
        <v>1</v>
      </c>
      <c r="G445" s="10" t="n">
        <f aca="false">SUMIFS(dados!$M$2:$M$1028,dados!$I$2:$I$1028,E445)</f>
        <v>0.0086659866513537</v>
      </c>
      <c r="H445" s="7" t="n">
        <f aca="false">SQRT(G445*40000/PI())</f>
        <v>10.5042262440651</v>
      </c>
      <c r="I445" s="11" t="n">
        <f aca="false">_xlfn.MAXIFS(dados!$N$2:$N$1028,dados!$I$2:$I$1028,E445)</f>
        <v>6</v>
      </c>
      <c r="J445" s="3"/>
      <c r="K445" s="3"/>
    </row>
    <row r="446" customFormat="false" ht="15" hidden="false" customHeight="false" outlineLevel="0" collapsed="false">
      <c r="A446" s="2" t="s">
        <v>50</v>
      </c>
      <c r="B446" s="2" t="s">
        <v>517</v>
      </c>
      <c r="C446" s="2" t="n">
        <v>153</v>
      </c>
      <c r="D446" s="2" t="s">
        <v>37</v>
      </c>
      <c r="E446" s="2" t="s">
        <v>540</v>
      </c>
      <c r="F446" s="6" t="n">
        <f aca="false">COUNTIF(dados!$I$2:$I$1028,E446)</f>
        <v>1</v>
      </c>
      <c r="G446" s="10" t="n">
        <f aca="false">SUMIFS(dados!$M$2:$M$1028,dados!$I$2:$I$1028,E446)</f>
        <v>0.00580119767569958</v>
      </c>
      <c r="H446" s="7" t="n">
        <f aca="false">SQRT(G446*40000/PI())</f>
        <v>8.59436692696235</v>
      </c>
      <c r="I446" s="11" t="n">
        <f aca="false">_xlfn.MAXIFS(dados!$N$2:$N$1028,dados!$I$2:$I$1028,E446)</f>
        <v>6</v>
      </c>
      <c r="J446" s="3"/>
      <c r="K446" s="3"/>
    </row>
    <row r="447" customFormat="false" ht="15" hidden="false" customHeight="false" outlineLevel="0" collapsed="false">
      <c r="A447" s="2" t="s">
        <v>50</v>
      </c>
      <c r="B447" s="2" t="s">
        <v>517</v>
      </c>
      <c r="C447" s="2" t="n">
        <v>154</v>
      </c>
      <c r="D447" s="2" t="s">
        <v>37</v>
      </c>
      <c r="E447" s="2" t="s">
        <v>541</v>
      </c>
      <c r="F447" s="6" t="n">
        <f aca="false">COUNTIF(dados!$I$2:$I$1028,E447)</f>
        <v>1</v>
      </c>
      <c r="G447" s="10" t="n">
        <f aca="false">SUMIFS(dados!$M$2:$M$1028,dados!$I$2:$I$1028,E447)</f>
        <v>0.00229978892767789</v>
      </c>
      <c r="H447" s="7" t="n">
        <f aca="false">SQRT(G447*40000/PI())</f>
        <v>5.41126806512444</v>
      </c>
      <c r="I447" s="11" t="n">
        <f aca="false">_xlfn.MAXIFS(dados!$N$2:$N$1028,dados!$I$2:$I$1028,E447)</f>
        <v>4</v>
      </c>
      <c r="J447" s="3"/>
      <c r="K447" s="3"/>
    </row>
    <row r="448" customFormat="false" ht="15" hidden="false" customHeight="false" outlineLevel="0" collapsed="false">
      <c r="A448" s="2" t="s">
        <v>50</v>
      </c>
      <c r="B448" s="2" t="s">
        <v>517</v>
      </c>
      <c r="C448" s="2" t="n">
        <v>155</v>
      </c>
      <c r="D448" s="2" t="s">
        <v>37</v>
      </c>
      <c r="E448" s="2" t="s">
        <v>542</v>
      </c>
      <c r="F448" s="6" t="n">
        <f aca="false">COUNTIF(dados!$I$2:$I$1028,E448)</f>
        <v>1</v>
      </c>
      <c r="G448" s="10" t="n">
        <f aca="false">SUMIFS(dados!$M$2:$M$1028,dados!$I$2:$I$1028,E448)</f>
        <v>0.0154061984912955</v>
      </c>
      <c r="H448" s="7" t="n">
        <f aca="false">SQRT(G448*40000/PI())</f>
        <v>14.0056349920868</v>
      </c>
      <c r="I448" s="11" t="n">
        <f aca="false">_xlfn.MAXIFS(dados!$N$2:$N$1028,dados!$I$2:$I$1028,E448)</f>
        <v>12</v>
      </c>
      <c r="J448" s="3"/>
      <c r="K448" s="3"/>
    </row>
    <row r="449" customFormat="false" ht="15" hidden="false" customHeight="false" outlineLevel="0" collapsed="false">
      <c r="A449" s="2" t="s">
        <v>50</v>
      </c>
      <c r="B449" s="2" t="s">
        <v>517</v>
      </c>
      <c r="C449" s="2" t="n">
        <v>156</v>
      </c>
      <c r="D449" s="2" t="s">
        <v>44</v>
      </c>
      <c r="E449" s="2" t="s">
        <v>543</v>
      </c>
      <c r="F449" s="6" t="n">
        <f aca="false">COUNTIF(dados!$I$2:$I$1028,E449)</f>
        <v>1</v>
      </c>
      <c r="G449" s="10" t="n">
        <f aca="false">SUMIFS(dados!$M$2:$M$1028,dados!$I$2:$I$1028,E449)</f>
        <v>0.0086659866513537</v>
      </c>
      <c r="H449" s="7" t="n">
        <f aca="false">SQRT(G449*40000/PI())</f>
        <v>10.5042262440651</v>
      </c>
      <c r="I449" s="11" t="n">
        <f aca="false">_xlfn.MAXIFS(dados!$N$2:$N$1028,dados!$I$2:$I$1028,E449)</f>
        <v>6</v>
      </c>
      <c r="J449" s="3"/>
      <c r="K449" s="3"/>
    </row>
    <row r="450" customFormat="false" ht="15" hidden="false" customHeight="false" outlineLevel="0" collapsed="false">
      <c r="A450" s="2" t="s">
        <v>50</v>
      </c>
      <c r="B450" s="2" t="s">
        <v>517</v>
      </c>
      <c r="C450" s="2" t="n">
        <v>157</v>
      </c>
      <c r="D450" s="2" t="s">
        <v>37</v>
      </c>
      <c r="E450" s="2" t="s">
        <v>544</v>
      </c>
      <c r="F450" s="6" t="n">
        <f aca="false">COUNTIF(dados!$I$2:$I$1028,E450)</f>
        <v>1</v>
      </c>
      <c r="G450" s="10" t="n">
        <f aca="false">SUMIFS(dados!$M$2:$M$1028,dados!$I$2:$I$1028,E450)</f>
        <v>0.00716197243913529</v>
      </c>
      <c r="H450" s="7" t="n">
        <f aca="false">SQRT(G450*40000/PI())</f>
        <v>9.54929658551372</v>
      </c>
      <c r="I450" s="11" t="n">
        <f aca="false">_xlfn.MAXIFS(dados!$N$2:$N$1028,dados!$I$2:$I$1028,E450)</f>
        <v>6</v>
      </c>
      <c r="J450" s="3"/>
      <c r="K450" s="3"/>
    </row>
    <row r="451" customFormat="false" ht="15" hidden="false" customHeight="false" outlineLevel="0" collapsed="false">
      <c r="A451" s="2" t="s">
        <v>50</v>
      </c>
      <c r="B451" s="2" t="s">
        <v>517</v>
      </c>
      <c r="C451" s="2" t="n">
        <v>158</v>
      </c>
      <c r="D451" s="2" t="s">
        <v>44</v>
      </c>
      <c r="E451" s="2" t="s">
        <v>545</v>
      </c>
      <c r="F451" s="6" t="n">
        <f aca="false">COUNTIF(dados!$I$2:$I$1028,E451)</f>
        <v>1</v>
      </c>
      <c r="G451" s="10" t="n">
        <f aca="false">SUMIFS(dados!$M$2:$M$1028,dados!$I$2:$I$1028,E451)</f>
        <v>0.00919915571071155</v>
      </c>
      <c r="H451" s="7" t="n">
        <f aca="false">SQRT(G451*40000/PI())</f>
        <v>10.8225361302489</v>
      </c>
      <c r="I451" s="11" t="n">
        <f aca="false">_xlfn.MAXIFS(dados!$N$2:$N$1028,dados!$I$2:$I$1028,E451)</f>
        <v>8</v>
      </c>
      <c r="J451" s="3"/>
      <c r="K451" s="3"/>
    </row>
    <row r="452" customFormat="false" ht="15" hidden="false" customHeight="false" outlineLevel="0" collapsed="false">
      <c r="A452" s="2" t="s">
        <v>50</v>
      </c>
      <c r="B452" s="2" t="s">
        <v>517</v>
      </c>
      <c r="C452" s="2" t="n">
        <v>159</v>
      </c>
      <c r="D452" s="2" t="s">
        <v>66</v>
      </c>
      <c r="E452" s="2" t="s">
        <v>546</v>
      </c>
      <c r="F452" s="6" t="n">
        <f aca="false">COUNTIF(dados!$I$2:$I$1028,E452)</f>
        <v>1</v>
      </c>
      <c r="G452" s="10" t="n">
        <f aca="false">SUMIFS(dados!$M$2:$M$1028,dados!$I$2:$I$1028,E452)</f>
        <v>0.0086659866513537</v>
      </c>
      <c r="H452" s="7" t="n">
        <f aca="false">SQRT(G452*40000/PI())</f>
        <v>10.5042262440651</v>
      </c>
      <c r="I452" s="11" t="n">
        <f aca="false">_xlfn.MAXIFS(dados!$N$2:$N$1028,dados!$I$2:$I$1028,E452)</f>
        <v>5</v>
      </c>
      <c r="J452" s="3"/>
      <c r="K452" s="3"/>
    </row>
    <row r="453" customFormat="false" ht="15" hidden="false" customHeight="false" outlineLevel="0" collapsed="false">
      <c r="A453" s="2" t="s">
        <v>50</v>
      </c>
      <c r="B453" s="2" t="s">
        <v>517</v>
      </c>
      <c r="C453" s="2" t="n">
        <v>160</v>
      </c>
      <c r="D453" s="2" t="s">
        <v>44</v>
      </c>
      <c r="E453" s="2" t="s">
        <v>547</v>
      </c>
      <c r="F453" s="6" t="n">
        <f aca="false">COUNTIF(dados!$I$2:$I$1028,E453)</f>
        <v>6</v>
      </c>
      <c r="G453" s="10" t="n">
        <f aca="false">SUMIFS(dados!$M$2:$M$1028,dados!$I$2:$I$1028,E453)</f>
        <v>0.0276531713622168</v>
      </c>
      <c r="H453" s="7" t="n">
        <f aca="false">SQRT(G453*40000/PI())</f>
        <v>18.7640910559804</v>
      </c>
      <c r="I453" s="11" t="n">
        <f aca="false">_xlfn.MAXIFS(dados!$N$2:$N$1028,dados!$I$2:$I$1028,E453)</f>
        <v>12</v>
      </c>
      <c r="J453" s="3"/>
      <c r="K453" s="3"/>
    </row>
    <row r="454" customFormat="false" ht="15" hidden="false" customHeight="false" outlineLevel="0" collapsed="false">
      <c r="A454" s="2" t="s">
        <v>50</v>
      </c>
      <c r="B454" s="2" t="s">
        <v>517</v>
      </c>
      <c r="C454" s="2" t="n">
        <v>161</v>
      </c>
      <c r="D454" s="2" t="s">
        <v>66</v>
      </c>
      <c r="E454" s="2" t="s">
        <v>548</v>
      </c>
      <c r="F454" s="6" t="n">
        <f aca="false">COUNTIF(dados!$I$2:$I$1028,E454)</f>
        <v>1</v>
      </c>
      <c r="G454" s="10" t="n">
        <f aca="false">SUMIFS(dados!$M$2:$M$1028,dados!$I$2:$I$1028,E454)</f>
        <v>0.0103132403123548</v>
      </c>
      <c r="H454" s="7" t="n">
        <f aca="false">SQRT(G454*40000/PI())</f>
        <v>11.4591559026165</v>
      </c>
      <c r="I454" s="11" t="n">
        <f aca="false">_xlfn.MAXIFS(dados!$N$2:$N$1028,dados!$I$2:$I$1028,E454)</f>
        <v>9</v>
      </c>
      <c r="J454" s="3"/>
      <c r="K454" s="3"/>
    </row>
    <row r="455" customFormat="false" ht="15" hidden="false" customHeight="false" outlineLevel="0" collapsed="false">
      <c r="A455" s="2" t="s">
        <v>50</v>
      </c>
      <c r="B455" s="2" t="s">
        <v>517</v>
      </c>
      <c r="C455" s="2" t="n">
        <v>162</v>
      </c>
      <c r="D455" s="2" t="s">
        <v>44</v>
      </c>
      <c r="E455" s="2" t="s">
        <v>549</v>
      </c>
      <c r="F455" s="6" t="n">
        <f aca="false">COUNTIF(dados!$I$2:$I$1028,E455)</f>
        <v>1</v>
      </c>
      <c r="G455" s="10" t="n">
        <f aca="false">SUMIFS(dados!$M$2:$M$1028,dados!$I$2:$I$1028,E455)</f>
        <v>0.019106550918182</v>
      </c>
      <c r="H455" s="7" t="n">
        <f aca="false">SQRT(G455*40000/PI())</f>
        <v>15.5971844230057</v>
      </c>
      <c r="I455" s="11" t="n">
        <f aca="false">_xlfn.MAXIFS(dados!$N$2:$N$1028,dados!$I$2:$I$1028,E455)</f>
        <v>8</v>
      </c>
      <c r="J455" s="3"/>
      <c r="K455" s="3"/>
    </row>
    <row r="456" customFormat="false" ht="15" hidden="false" customHeight="false" outlineLevel="0" collapsed="false">
      <c r="A456" s="2" t="s">
        <v>50</v>
      </c>
      <c r="B456" s="2" t="s">
        <v>517</v>
      </c>
      <c r="C456" s="2" t="n">
        <v>163</v>
      </c>
      <c r="D456" s="2" t="s">
        <v>37</v>
      </c>
      <c r="E456" s="2" t="s">
        <v>550</v>
      </c>
      <c r="F456" s="6" t="n">
        <f aca="false">COUNTIF(dados!$I$2:$I$1028,E456)</f>
        <v>5</v>
      </c>
      <c r="G456" s="10" t="n">
        <f aca="false">SUMIFS(dados!$M$2:$M$1028,dados!$I$2:$I$1028,E456)</f>
        <v>0.0676090198254371</v>
      </c>
      <c r="H456" s="7" t="n">
        <f aca="false">SQRT(G456*40000/PI())</f>
        <v>29.339815545182</v>
      </c>
      <c r="I456" s="11" t="n">
        <f aca="false">_xlfn.MAXIFS(dados!$N$2:$N$1028,dados!$I$2:$I$1028,E456)</f>
        <v>11</v>
      </c>
      <c r="J456" s="3"/>
      <c r="K456" s="3"/>
    </row>
    <row r="457" customFormat="false" ht="15" hidden="false" customHeight="false" outlineLevel="0" collapsed="false">
      <c r="A457" s="2" t="s">
        <v>50</v>
      </c>
      <c r="B457" s="2" t="s">
        <v>517</v>
      </c>
      <c r="C457" s="2" t="n">
        <v>164</v>
      </c>
      <c r="D457" s="2" t="s">
        <v>61</v>
      </c>
      <c r="E457" s="2" t="s">
        <v>551</v>
      </c>
      <c r="F457" s="6" t="n">
        <f aca="false">COUNTIF(dados!$I$2:$I$1028,E457)</f>
        <v>1</v>
      </c>
      <c r="G457" s="10" t="n">
        <f aca="false">SUMIFS(dados!$M$2:$M$1028,dados!$I$2:$I$1028,E457)</f>
        <v>0.00580119767569958</v>
      </c>
      <c r="H457" s="7" t="n">
        <f aca="false">SQRT(G457*40000/PI())</f>
        <v>8.59436692696235</v>
      </c>
      <c r="I457" s="11" t="n">
        <f aca="false">_xlfn.MAXIFS(dados!$N$2:$N$1028,dados!$I$2:$I$1028,E457)</f>
        <v>7</v>
      </c>
      <c r="J457" s="3"/>
      <c r="K457" s="3"/>
    </row>
    <row r="458" customFormat="false" ht="15" hidden="false" customHeight="false" outlineLevel="0" collapsed="false">
      <c r="A458" s="2" t="s">
        <v>50</v>
      </c>
      <c r="B458" s="2" t="s">
        <v>517</v>
      </c>
      <c r="C458" s="2" t="n">
        <v>170</v>
      </c>
      <c r="D458" s="2" t="s">
        <v>37</v>
      </c>
      <c r="E458" s="2" t="s">
        <v>552</v>
      </c>
      <c r="F458" s="6" t="n">
        <f aca="false">COUNTIF(dados!$I$2:$I$1028,E458)</f>
        <v>3</v>
      </c>
      <c r="G458" s="10" t="n">
        <f aca="false">SUMIFS(dados!$M$2:$M$1028,dados!$I$2:$I$1028,E458)</f>
        <v>0.0286240165150774</v>
      </c>
      <c r="H458" s="7" t="n">
        <f aca="false">SQRT(G458*40000/PI())</f>
        <v>19.0906337653177</v>
      </c>
      <c r="I458" s="11" t="n">
        <f aca="false">_xlfn.MAXIFS(dados!$N$2:$N$1028,dados!$I$2:$I$1028,E458)</f>
        <v>10</v>
      </c>
      <c r="J458" s="3"/>
      <c r="K458" s="3"/>
    </row>
    <row r="459" customFormat="false" ht="15" hidden="false" customHeight="false" outlineLevel="0" collapsed="false">
      <c r="A459" s="2" t="s">
        <v>50</v>
      </c>
      <c r="B459" s="2" t="s">
        <v>517</v>
      </c>
      <c r="C459" s="2" t="n">
        <v>171</v>
      </c>
      <c r="D459" s="2" t="s">
        <v>37</v>
      </c>
      <c r="E459" s="2" t="s">
        <v>553</v>
      </c>
      <c r="F459" s="6" t="n">
        <f aca="false">COUNTIF(dados!$I$2:$I$1028,E459)</f>
        <v>3</v>
      </c>
      <c r="G459" s="10" t="n">
        <f aca="false">SUMIFS(dados!$M$2:$M$1028,dados!$I$2:$I$1028,E459)</f>
        <v>0.0284171150890579</v>
      </c>
      <c r="H459" s="7" t="n">
        <f aca="false">SQRT(G459*40000/PI())</f>
        <v>19.0215127365514</v>
      </c>
      <c r="I459" s="11" t="n">
        <f aca="false">_xlfn.MAXIFS(dados!$N$2:$N$1028,dados!$I$2:$I$1028,E459)</f>
        <v>10</v>
      </c>
      <c r="J459" s="3"/>
      <c r="K459" s="3"/>
    </row>
    <row r="460" customFormat="false" ht="15" hidden="false" customHeight="false" outlineLevel="0" collapsed="false">
      <c r="A460" s="2" t="s">
        <v>50</v>
      </c>
      <c r="B460" s="2" t="s">
        <v>517</v>
      </c>
      <c r="C460" s="2" t="n">
        <v>172</v>
      </c>
      <c r="D460" s="2" t="s">
        <v>37</v>
      </c>
      <c r="E460" s="2" t="s">
        <v>554</v>
      </c>
      <c r="F460" s="6" t="n">
        <f aca="false">COUNTIF(dados!$I$2:$I$1028,E460)</f>
        <v>3</v>
      </c>
      <c r="G460" s="10" t="n">
        <f aca="false">SUMIFS(dados!$M$2:$M$1028,dados!$I$2:$I$1028,E460)</f>
        <v>0.0378311299729435</v>
      </c>
      <c r="H460" s="7" t="n">
        <f aca="false">SQRT(G460*40000/PI())</f>
        <v>21.9472300538285</v>
      </c>
      <c r="I460" s="11" t="n">
        <f aca="false">_xlfn.MAXIFS(dados!$N$2:$N$1028,dados!$I$2:$I$1028,E460)</f>
        <v>15</v>
      </c>
      <c r="J460" s="3"/>
      <c r="K460" s="3"/>
    </row>
    <row r="461" customFormat="false" ht="15" hidden="false" customHeight="false" outlineLevel="0" collapsed="false">
      <c r="A461" s="2" t="s">
        <v>50</v>
      </c>
      <c r="B461" s="2" t="s">
        <v>517</v>
      </c>
      <c r="C461" s="2" t="n">
        <v>173</v>
      </c>
      <c r="D461" s="2" t="s">
        <v>37</v>
      </c>
      <c r="E461" s="2" t="s">
        <v>555</v>
      </c>
      <c r="F461" s="6" t="n">
        <f aca="false">COUNTIF(dados!$I$2:$I$1028,E461)</f>
        <v>1</v>
      </c>
      <c r="G461" s="10" t="n">
        <f aca="false">SUMIFS(dados!$M$2:$M$1028,dados!$I$2:$I$1028,E461)</f>
        <v>0.0147138744888457</v>
      </c>
      <c r="H461" s="7" t="n">
        <f aca="false">SQRT(G461*40000/PI())</f>
        <v>13.687325105903</v>
      </c>
      <c r="I461" s="11" t="n">
        <f aca="false">_xlfn.MAXIFS(dados!$N$2:$N$1028,dados!$I$2:$I$1028,E461)</f>
        <v>12</v>
      </c>
      <c r="J461" s="3"/>
      <c r="K461" s="3"/>
    </row>
    <row r="462" customFormat="false" ht="15" hidden="false" customHeight="false" outlineLevel="0" collapsed="false">
      <c r="A462" s="2" t="s">
        <v>50</v>
      </c>
      <c r="B462" s="2" t="s">
        <v>517</v>
      </c>
      <c r="C462" s="2" t="n">
        <v>174</v>
      </c>
      <c r="D462" s="2" t="s">
        <v>37</v>
      </c>
      <c r="E462" s="2" t="s">
        <v>556</v>
      </c>
      <c r="F462" s="6" t="n">
        <f aca="false">COUNTIF(dados!$I$2:$I$1028,E462)</f>
        <v>1</v>
      </c>
      <c r="G462" s="10" t="n">
        <f aca="false">SUMIFS(dados!$M$2:$M$1028,dados!$I$2:$I$1028,E462)</f>
        <v>0.00716197243913529</v>
      </c>
      <c r="H462" s="7" t="n">
        <f aca="false">SQRT(G462*40000/PI())</f>
        <v>9.54929658551372</v>
      </c>
      <c r="I462" s="11" t="n">
        <f aca="false">_xlfn.MAXIFS(dados!$N$2:$N$1028,dados!$I$2:$I$1028,E462)</f>
        <v>9</v>
      </c>
      <c r="J462" s="3"/>
      <c r="K462" s="3"/>
    </row>
    <row r="463" customFormat="false" ht="15" hidden="false" customHeight="false" outlineLevel="0" collapsed="false">
      <c r="A463" s="2" t="s">
        <v>50</v>
      </c>
      <c r="B463" s="2" t="s">
        <v>517</v>
      </c>
      <c r="C463" s="2" t="n">
        <v>175</v>
      </c>
      <c r="D463" s="2" t="s">
        <v>37</v>
      </c>
      <c r="E463" s="2" t="s">
        <v>557</v>
      </c>
      <c r="F463" s="6" t="n">
        <f aca="false">COUNTIF(dados!$I$2:$I$1028,E463)</f>
        <v>1</v>
      </c>
      <c r="G463" s="10" t="n">
        <f aca="false">SUMIFS(dados!$M$2:$M$1028,dados!$I$2:$I$1028,E463)</f>
        <v>0.0215177483060242</v>
      </c>
      <c r="H463" s="7" t="n">
        <f aca="false">SQRT(G463*40000/PI())</f>
        <v>16.5521140815571</v>
      </c>
      <c r="I463" s="11" t="n">
        <f aca="false">_xlfn.MAXIFS(dados!$N$2:$N$1028,dados!$I$2:$I$1028,E463)</f>
        <v>12</v>
      </c>
      <c r="J463" s="3"/>
      <c r="K463" s="3"/>
    </row>
    <row r="464" customFormat="false" ht="15" hidden="false" customHeight="false" outlineLevel="0" collapsed="false">
      <c r="A464" s="2" t="s">
        <v>50</v>
      </c>
      <c r="B464" s="2" t="s">
        <v>517</v>
      </c>
      <c r="C464" s="2" t="n">
        <v>176</v>
      </c>
      <c r="D464" s="2" t="s">
        <v>37</v>
      </c>
      <c r="E464" s="2" t="s">
        <v>558</v>
      </c>
      <c r="F464" s="6" t="n">
        <f aca="false">COUNTIF(dados!$I$2:$I$1028,E464)</f>
        <v>1</v>
      </c>
      <c r="G464" s="10" t="n">
        <f aca="false">SUMIFS(dados!$M$2:$M$1028,dados!$I$2:$I$1028,E464)</f>
        <v>0.00580119767569958</v>
      </c>
      <c r="H464" s="7" t="n">
        <f aca="false">SQRT(G464*40000/PI())</f>
        <v>8.59436692696235</v>
      </c>
      <c r="I464" s="11" t="n">
        <f aca="false">_xlfn.MAXIFS(dados!$N$2:$N$1028,dados!$I$2:$I$1028,E464)</f>
        <v>10</v>
      </c>
      <c r="J464" s="3"/>
      <c r="K464" s="3"/>
    </row>
    <row r="465" customFormat="false" ht="15" hidden="false" customHeight="false" outlineLevel="0" collapsed="false">
      <c r="A465" s="2" t="s">
        <v>50</v>
      </c>
      <c r="B465" s="2" t="s">
        <v>517</v>
      </c>
      <c r="C465" s="2" t="n">
        <v>177</v>
      </c>
      <c r="D465" s="2" t="s">
        <v>37</v>
      </c>
      <c r="E465" s="2" t="s">
        <v>559</v>
      </c>
      <c r="F465" s="6" t="n">
        <f aca="false">COUNTIF(dados!$I$2:$I$1028,E465)</f>
        <v>1</v>
      </c>
      <c r="G465" s="10" t="n">
        <f aca="false">SUMIFS(dados!$M$2:$M$1028,dados!$I$2:$I$1028,E465)</f>
        <v>0.0325949323452202</v>
      </c>
      <c r="H465" s="7" t="n">
        <f aca="false">SQRT(G465*40000/PI())</f>
        <v>20.3718327157626</v>
      </c>
      <c r="I465" s="11" t="n">
        <f aca="false">_xlfn.MAXIFS(dados!$N$2:$N$1028,dados!$I$2:$I$1028,E465)</f>
        <v>15</v>
      </c>
      <c r="J465" s="3"/>
      <c r="K465" s="3"/>
    </row>
    <row r="466" customFormat="false" ht="15" hidden="false" customHeight="false" outlineLevel="0" collapsed="false">
      <c r="A466" s="2" t="s">
        <v>50</v>
      </c>
      <c r="B466" s="2" t="s">
        <v>517</v>
      </c>
      <c r="C466" s="2" t="n">
        <v>178</v>
      </c>
      <c r="D466" s="2" t="s">
        <v>68</v>
      </c>
      <c r="E466" s="2" t="s">
        <v>560</v>
      </c>
      <c r="F466" s="6" t="n">
        <f aca="false">COUNTIF(dados!$I$2:$I$1028,E466)</f>
        <v>1</v>
      </c>
      <c r="G466" s="10" t="n">
        <f aca="false">SUMIFS(dados!$M$2:$M$1028,dados!$I$2:$I$1028,E466)</f>
        <v>0.0108941558546402</v>
      </c>
      <c r="H466" s="7" t="n">
        <f aca="false">SQRT(G466*40000/PI())</f>
        <v>11.7774657888003</v>
      </c>
      <c r="I466" s="11" t="n">
        <f aca="false">_xlfn.MAXIFS(dados!$N$2:$N$1028,dados!$I$2:$I$1028,E466)</f>
        <v>8</v>
      </c>
      <c r="J466" s="3"/>
      <c r="K466" s="3"/>
    </row>
    <row r="467" customFormat="false" ht="15" hidden="false" customHeight="false" outlineLevel="0" collapsed="false">
      <c r="A467" s="2" t="s">
        <v>50</v>
      </c>
      <c r="B467" s="2" t="s">
        <v>517</v>
      </c>
      <c r="C467" s="2" t="n">
        <v>179</v>
      </c>
      <c r="D467" s="2" t="s">
        <v>37</v>
      </c>
      <c r="E467" s="2" t="s">
        <v>561</v>
      </c>
      <c r="F467" s="6" t="n">
        <f aca="false">COUNTIF(dados!$I$2:$I$1028,E467)</f>
        <v>3</v>
      </c>
      <c r="G467" s="10" t="n">
        <f aca="false">SUMIFS(dados!$M$2:$M$1028,dados!$I$2:$I$1028,E467)</f>
        <v>0.0284409883305217</v>
      </c>
      <c r="H467" s="7" t="n">
        <f aca="false">SQRT(G467*40000/PI())</f>
        <v>19.0295010533045</v>
      </c>
      <c r="I467" s="11" t="n">
        <f aca="false">_xlfn.MAXIFS(dados!$N$2:$N$1028,dados!$I$2:$I$1028,E467)</f>
        <v>14</v>
      </c>
      <c r="J467" s="3"/>
      <c r="K467" s="3"/>
    </row>
    <row r="468" customFormat="false" ht="15" hidden="false" customHeight="false" outlineLevel="0" collapsed="false">
      <c r="A468" s="2" t="s">
        <v>50</v>
      </c>
      <c r="B468" s="2" t="s">
        <v>517</v>
      </c>
      <c r="C468" s="2" t="n">
        <v>180</v>
      </c>
      <c r="D468" s="2" t="s">
        <v>44</v>
      </c>
      <c r="E468" s="2" t="s">
        <v>562</v>
      </c>
      <c r="F468" s="6" t="n">
        <f aca="false">COUNTIF(dados!$I$2:$I$1028,E468)</f>
        <v>1</v>
      </c>
      <c r="G468" s="10" t="n">
        <f aca="false">SUMIFS(dados!$M$2:$M$1028,dados!$I$2:$I$1028,E468)</f>
        <v>0.00458366236104659</v>
      </c>
      <c r="H468" s="7" t="n">
        <f aca="false">SQRT(G468*40000/PI())</f>
        <v>7.63943726841098</v>
      </c>
      <c r="I468" s="11" t="n">
        <f aca="false">_xlfn.MAXIFS(dados!$N$2:$N$1028,dados!$I$2:$I$1028,E468)</f>
        <v>10</v>
      </c>
      <c r="J468" s="3"/>
      <c r="K468" s="3"/>
    </row>
    <row r="469" customFormat="false" ht="15" hidden="false" customHeight="false" outlineLevel="0" collapsed="false">
      <c r="A469" s="2" t="s">
        <v>50</v>
      </c>
      <c r="B469" s="2" t="s">
        <v>517</v>
      </c>
      <c r="C469" s="2" t="n">
        <v>181</v>
      </c>
      <c r="D469" s="2" t="s">
        <v>37</v>
      </c>
      <c r="E469" s="2" t="s">
        <v>563</v>
      </c>
      <c r="F469" s="6" t="n">
        <f aca="false">COUNTIF(dados!$I$2:$I$1028,E469)</f>
        <v>2</v>
      </c>
      <c r="G469" s="10" t="n">
        <f aca="false">SUMIFS(dados!$M$2:$M$1028,dados!$I$2:$I$1028,E469)</f>
        <v>0.0307646504996634</v>
      </c>
      <c r="H469" s="7" t="n">
        <f aca="false">SQRT(G469*40000/PI())</f>
        <v>19.7916067048958</v>
      </c>
      <c r="I469" s="11" t="n">
        <f aca="false">_xlfn.MAXIFS(dados!$N$2:$N$1028,dados!$I$2:$I$1028,E469)</f>
        <v>13</v>
      </c>
      <c r="J469" s="3"/>
      <c r="K469" s="3"/>
    </row>
    <row r="470" customFormat="false" ht="15" hidden="false" customHeight="false" outlineLevel="0" collapsed="false">
      <c r="A470" s="2" t="s">
        <v>70</v>
      </c>
      <c r="B470" s="2" t="s">
        <v>564</v>
      </c>
      <c r="C470" s="2" t="n">
        <v>1</v>
      </c>
      <c r="D470" s="2" t="s">
        <v>37</v>
      </c>
      <c r="E470" s="2" t="s">
        <v>565</v>
      </c>
      <c r="F470" s="6" t="n">
        <f aca="false">COUNTIF(dados!$I$2:$I$1028,E470)</f>
        <v>1</v>
      </c>
      <c r="G470" s="10" t="n">
        <f aca="false">SUMIFS(dados!$M$2:$M$1028,dados!$I$2:$I$1028,E470)</f>
        <v>0.0315842984565866</v>
      </c>
      <c r="H470" s="7" t="n">
        <f aca="false">SQRT(G470*40000/PI())</f>
        <v>20.0535228295788</v>
      </c>
      <c r="I470" s="11" t="n">
        <f aca="false">_xlfn.MAXIFS(dados!$N$2:$N$1028,dados!$I$2:$I$1028,E470)</f>
        <v>13</v>
      </c>
      <c r="J470" s="3"/>
      <c r="K470" s="3"/>
    </row>
    <row r="471" customFormat="false" ht="15" hidden="false" customHeight="false" outlineLevel="0" collapsed="false">
      <c r="A471" s="2" t="s">
        <v>70</v>
      </c>
      <c r="B471" s="2" t="s">
        <v>564</v>
      </c>
      <c r="C471" s="2" t="n">
        <v>2</v>
      </c>
      <c r="D471" s="2" t="s">
        <v>37</v>
      </c>
      <c r="E471" s="2" t="s">
        <v>566</v>
      </c>
      <c r="F471" s="6" t="n">
        <f aca="false">COUNTIF(dados!$I$2:$I$1028,E471)</f>
        <v>3</v>
      </c>
      <c r="G471" s="10" t="n">
        <f aca="false">SUMIFS(dados!$M$2:$M$1028,dados!$I$2:$I$1028,E471)</f>
        <v>0.0367230136816662</v>
      </c>
      <c r="H471" s="7" t="n">
        <f aca="false">SQRT(G471*40000/PI())</f>
        <v>21.6234116691487</v>
      </c>
      <c r="I471" s="11" t="n">
        <f aca="false">_xlfn.MAXIFS(dados!$N$2:$N$1028,dados!$I$2:$I$1028,E471)</f>
        <v>12</v>
      </c>
      <c r="J471" s="3"/>
      <c r="K471" s="3"/>
    </row>
    <row r="472" customFormat="false" ht="15" hidden="false" customHeight="false" outlineLevel="0" collapsed="false">
      <c r="A472" s="2" t="s">
        <v>70</v>
      </c>
      <c r="B472" s="2" t="s">
        <v>564</v>
      </c>
      <c r="C472" s="2" t="n">
        <v>3</v>
      </c>
      <c r="D472" s="2" t="s">
        <v>37</v>
      </c>
      <c r="E472" s="2" t="s">
        <v>567</v>
      </c>
      <c r="F472" s="6" t="n">
        <f aca="false">COUNTIF(dados!$I$2:$I$1028,E472)</f>
        <v>4</v>
      </c>
      <c r="G472" s="10" t="n">
        <f aca="false">SUMIFS(dados!$M$2:$M$1028,dados!$I$2:$I$1028,E472)</f>
        <v>0.0348648797210683</v>
      </c>
      <c r="H472" s="7" t="n">
        <f aca="false">SQRT(G472*40000/PI())</f>
        <v>21.0692533287963</v>
      </c>
      <c r="I472" s="11" t="n">
        <f aca="false">_xlfn.MAXIFS(dados!$N$2:$N$1028,dados!$I$2:$I$1028,E472)</f>
        <v>12</v>
      </c>
      <c r="J472" s="3"/>
      <c r="K472" s="3"/>
    </row>
    <row r="473" customFormat="false" ht="15" hidden="false" customHeight="false" outlineLevel="0" collapsed="false">
      <c r="A473" s="2" t="s">
        <v>70</v>
      </c>
      <c r="B473" s="2" t="s">
        <v>564</v>
      </c>
      <c r="C473" s="2" t="n">
        <v>4</v>
      </c>
      <c r="D473" s="2" t="s">
        <v>37</v>
      </c>
      <c r="E473" s="2" t="s">
        <v>568</v>
      </c>
      <c r="F473" s="6" t="n">
        <f aca="false">COUNTIF(dados!$I$2:$I$1028,E473)</f>
        <v>4</v>
      </c>
      <c r="G473" s="10" t="n">
        <f aca="false">SUMIFS(dados!$M$2:$M$1028,dados!$I$2:$I$1028,E473)</f>
        <v>0.0198744735186004</v>
      </c>
      <c r="H473" s="7" t="n">
        <f aca="false">SQRT(G473*40000/PI())</f>
        <v>15.9075345716028</v>
      </c>
      <c r="I473" s="11" t="n">
        <f aca="false">_xlfn.MAXIFS(dados!$N$2:$N$1028,dados!$I$2:$I$1028,E473)</f>
        <v>14</v>
      </c>
      <c r="J473" s="3"/>
      <c r="K473" s="3"/>
    </row>
    <row r="474" customFormat="false" ht="15" hidden="false" customHeight="false" outlineLevel="0" collapsed="false">
      <c r="A474" s="2" t="s">
        <v>70</v>
      </c>
      <c r="B474" s="2" t="s">
        <v>564</v>
      </c>
      <c r="C474" s="2" t="n">
        <v>5</v>
      </c>
      <c r="D474" s="2" t="s">
        <v>37</v>
      </c>
      <c r="E474" s="2" t="s">
        <v>569</v>
      </c>
      <c r="F474" s="6" t="n">
        <f aca="false">COUNTIF(dados!$I$2:$I$1028,E474)</f>
        <v>1</v>
      </c>
      <c r="G474" s="10" t="n">
        <f aca="false">SUMIFS(dados!$M$2:$M$1028,dados!$I$2:$I$1028,E474)</f>
        <v>0.0157583288028863</v>
      </c>
      <c r="H474" s="7" t="n">
        <f aca="false">SQRT(G474*40000/PI())</f>
        <v>14.1647899351787</v>
      </c>
      <c r="I474" s="11" t="n">
        <f aca="false">_xlfn.MAXIFS(dados!$N$2:$N$1028,dados!$I$2:$I$1028,E474)</f>
        <v>12.5</v>
      </c>
      <c r="J474" s="3"/>
      <c r="K474" s="3"/>
    </row>
    <row r="475" customFormat="false" ht="15" hidden="false" customHeight="false" outlineLevel="0" collapsed="false">
      <c r="A475" s="2" t="s">
        <v>70</v>
      </c>
      <c r="B475" s="2" t="s">
        <v>564</v>
      </c>
      <c r="C475" s="2" t="n">
        <v>6</v>
      </c>
      <c r="D475" s="2" t="s">
        <v>71</v>
      </c>
      <c r="E475" s="2" t="s">
        <v>570</v>
      </c>
      <c r="F475" s="6" t="n">
        <f aca="false">COUNTIF(dados!$I$2:$I$1028,E475)</f>
        <v>1</v>
      </c>
      <c r="G475" s="10" t="n">
        <f aca="false">SUMIFS(dados!$M$2:$M$1028,dados!$I$2:$I$1028,E475)</f>
        <v>0.00203718327157626</v>
      </c>
      <c r="H475" s="7" t="n">
        <f aca="false">SQRT(G475*40000/PI())</f>
        <v>5.09295817894065</v>
      </c>
      <c r="I475" s="11" t="n">
        <f aca="false">_xlfn.MAXIFS(dados!$N$2:$N$1028,dados!$I$2:$I$1028,E475)</f>
        <v>6</v>
      </c>
      <c r="J475" s="3"/>
      <c r="K475" s="3"/>
    </row>
    <row r="476" customFormat="false" ht="15" hidden="false" customHeight="false" outlineLevel="0" collapsed="false">
      <c r="A476" s="2" t="s">
        <v>70</v>
      </c>
      <c r="B476" s="2" t="s">
        <v>564</v>
      </c>
      <c r="C476" s="2" t="n">
        <v>7</v>
      </c>
      <c r="D476" s="2" t="s">
        <v>37</v>
      </c>
      <c r="E476" s="2" t="s">
        <v>571</v>
      </c>
      <c r="F476" s="6" t="n">
        <f aca="false">COUNTIF(dados!$I$2:$I$1028,E476)</f>
        <v>1</v>
      </c>
      <c r="G476" s="10" t="n">
        <f aca="false">SUMIFS(dados!$M$2:$M$1028,dados!$I$2:$I$1028,E476)</f>
        <v>0.0161144379880544</v>
      </c>
      <c r="H476" s="7" t="n">
        <f aca="false">SQRT(G476*40000/PI())</f>
        <v>14.3239448782706</v>
      </c>
      <c r="I476" s="11" t="n">
        <f aca="false">_xlfn.MAXIFS(dados!$N$2:$N$1028,dados!$I$2:$I$1028,E476)</f>
        <v>14</v>
      </c>
      <c r="J476" s="3"/>
      <c r="K476" s="3"/>
    </row>
    <row r="477" customFormat="false" ht="15" hidden="false" customHeight="false" outlineLevel="0" collapsed="false">
      <c r="A477" s="2" t="s">
        <v>70</v>
      </c>
      <c r="B477" s="2" t="s">
        <v>564</v>
      </c>
      <c r="C477" s="2" t="n">
        <v>8</v>
      </c>
      <c r="D477" s="2" t="s">
        <v>37</v>
      </c>
      <c r="E477" s="2" t="s">
        <v>572</v>
      </c>
      <c r="F477" s="6" t="n">
        <f aca="false">COUNTIF(dados!$I$2:$I$1028,E477)</f>
        <v>2</v>
      </c>
      <c r="G477" s="10" t="n">
        <f aca="false">SUMIFS(dados!$M$2:$M$1028,dados!$I$2:$I$1028,E477)</f>
        <v>0.00767922600418395</v>
      </c>
      <c r="H477" s="7" t="n">
        <f aca="false">SQRT(G477*40000/PI())</f>
        <v>9.88812126821147</v>
      </c>
      <c r="I477" s="11" t="n">
        <f aca="false">_xlfn.MAXIFS(dados!$N$2:$N$1028,dados!$I$2:$I$1028,E477)</f>
        <v>9</v>
      </c>
      <c r="J477" s="3"/>
      <c r="K477" s="3"/>
    </row>
    <row r="478" customFormat="false" ht="15" hidden="false" customHeight="false" outlineLevel="0" collapsed="false">
      <c r="A478" s="2" t="s">
        <v>70</v>
      </c>
      <c r="B478" s="2" t="s">
        <v>564</v>
      </c>
      <c r="C478" s="2" t="n">
        <v>9</v>
      </c>
      <c r="D478" s="2" t="s">
        <v>37</v>
      </c>
      <c r="E478" s="2" t="s">
        <v>573</v>
      </c>
      <c r="F478" s="6" t="n">
        <f aca="false">COUNTIF(dados!$I$2:$I$1028,E478)</f>
        <v>2</v>
      </c>
      <c r="G478" s="10" t="n">
        <f aca="false">SUMIFS(dados!$M$2:$M$1028,dados!$I$2:$I$1028,E478)</f>
        <v>0.0182888923980474</v>
      </c>
      <c r="H478" s="7" t="n">
        <f aca="false">SQRT(G478*40000/PI())</f>
        <v>15.2597971908542</v>
      </c>
      <c r="I478" s="11" t="n">
        <f aca="false">_xlfn.MAXIFS(dados!$N$2:$N$1028,dados!$I$2:$I$1028,E478)</f>
        <v>13</v>
      </c>
      <c r="J478" s="3"/>
      <c r="K478" s="3"/>
    </row>
    <row r="479" customFormat="false" ht="15" hidden="false" customHeight="false" outlineLevel="0" collapsed="false">
      <c r="A479" s="2" t="s">
        <v>70</v>
      </c>
      <c r="B479" s="2" t="s">
        <v>564</v>
      </c>
      <c r="C479" s="2" t="n">
        <v>10</v>
      </c>
      <c r="D479" s="2" t="s">
        <v>37</v>
      </c>
      <c r="E479" s="2" t="s">
        <v>574</v>
      </c>
      <c r="F479" s="6" t="n">
        <f aca="false">COUNTIF(dados!$I$2:$I$1028,E479)</f>
        <v>1</v>
      </c>
      <c r="G479" s="10" t="n">
        <f aca="false">SUMIFS(dados!$M$2:$M$1028,dados!$I$2:$I$1028,E479)</f>
        <v>0.00893058174424398</v>
      </c>
      <c r="H479" s="7" t="n">
        <f aca="false">SQRT(G479*40000/PI())</f>
        <v>10.663381187157</v>
      </c>
      <c r="I479" s="11" t="n">
        <f aca="false">_xlfn.MAXIFS(dados!$N$2:$N$1028,dados!$I$2:$I$1028,E479)</f>
        <v>11</v>
      </c>
      <c r="J479" s="3"/>
      <c r="K479" s="3"/>
    </row>
    <row r="480" customFormat="false" ht="15" hidden="false" customHeight="false" outlineLevel="0" collapsed="false">
      <c r="A480" s="2" t="s">
        <v>70</v>
      </c>
      <c r="B480" s="2" t="s">
        <v>564</v>
      </c>
      <c r="C480" s="2" t="n">
        <v>11</v>
      </c>
      <c r="D480" s="2" t="s">
        <v>37</v>
      </c>
      <c r="E480" s="2" t="s">
        <v>575</v>
      </c>
      <c r="F480" s="6" t="n">
        <f aca="false">COUNTIF(dados!$I$2:$I$1028,E480)</f>
        <v>1</v>
      </c>
      <c r="G480" s="10" t="n">
        <f aca="false">SUMIFS(dados!$M$2:$M$1028,dados!$I$2:$I$1028,E480)</f>
        <v>0.0277009178451444</v>
      </c>
      <c r="H480" s="7" t="n">
        <f aca="false">SQRT(G480*40000/PI())</f>
        <v>18.7802832848437</v>
      </c>
      <c r="I480" s="11" t="n">
        <f aca="false">_xlfn.MAXIFS(dados!$N$2:$N$1028,dados!$I$2:$I$1028,E480)</f>
        <v>12</v>
      </c>
      <c r="J480" s="3"/>
      <c r="K480" s="3"/>
    </row>
    <row r="481" customFormat="false" ht="15" hidden="false" customHeight="false" outlineLevel="0" collapsed="false">
      <c r="A481" s="2" t="s">
        <v>70</v>
      </c>
      <c r="B481" s="2" t="s">
        <v>564</v>
      </c>
      <c r="C481" s="2" t="n">
        <v>12</v>
      </c>
      <c r="D481" s="2" t="s">
        <v>37</v>
      </c>
      <c r="E481" s="2" t="s">
        <v>576</v>
      </c>
      <c r="F481" s="6" t="n">
        <f aca="false">COUNTIF(dados!$I$2:$I$1028,E481)</f>
        <v>2</v>
      </c>
      <c r="G481" s="10" t="n">
        <f aca="false">SUMIFS(dados!$M$2:$M$1028,dados!$I$2:$I$1028,E481)</f>
        <v>0.00755190204971043</v>
      </c>
      <c r="H481" s="7" t="n">
        <f aca="false">SQRT(G481*40000/PI())</f>
        <v>9.80580457058872</v>
      </c>
      <c r="I481" s="11" t="n">
        <f aca="false">_xlfn.MAXIFS(dados!$N$2:$N$1028,dados!$I$2:$I$1028,E481)</f>
        <v>10</v>
      </c>
      <c r="J481" s="3"/>
      <c r="K481" s="3"/>
    </row>
    <row r="482" customFormat="false" ht="15" hidden="false" customHeight="false" outlineLevel="0" collapsed="false">
      <c r="A482" s="2" t="s">
        <v>70</v>
      </c>
      <c r="B482" s="2" t="s">
        <v>564</v>
      </c>
      <c r="C482" s="2" t="n">
        <v>13</v>
      </c>
      <c r="D482" s="2" t="s">
        <v>37</v>
      </c>
      <c r="E482" s="2" t="s">
        <v>577</v>
      </c>
      <c r="F482" s="6" t="n">
        <f aca="false">COUNTIF(dados!$I$2:$I$1028,E482)</f>
        <v>1</v>
      </c>
      <c r="G482" s="10" t="n">
        <f aca="false">SUMIFS(dados!$M$2:$M$1028,dados!$I$2:$I$1028,E482)</f>
        <v>0.0143736807979868</v>
      </c>
      <c r="H482" s="7" t="n">
        <f aca="false">SQRT(G482*40000/PI())</f>
        <v>13.5281701628111</v>
      </c>
      <c r="I482" s="11" t="n">
        <f aca="false">_xlfn.MAXIFS(dados!$N$2:$N$1028,dados!$I$2:$I$1028,E482)</f>
        <v>10</v>
      </c>
      <c r="J482" s="3"/>
      <c r="K482" s="3"/>
    </row>
    <row r="483" customFormat="false" ht="15" hidden="false" customHeight="false" outlineLevel="0" collapsed="false">
      <c r="A483" s="2" t="s">
        <v>70</v>
      </c>
      <c r="B483" s="2" t="s">
        <v>564</v>
      </c>
      <c r="C483" s="2" t="n">
        <v>14</v>
      </c>
      <c r="D483" s="2" t="s">
        <v>72</v>
      </c>
      <c r="E483" s="2" t="s">
        <v>578</v>
      </c>
      <c r="F483" s="6" t="n">
        <f aca="false">COUNTIF(dados!$I$2:$I$1028,E483)</f>
        <v>1</v>
      </c>
      <c r="G483" s="10" t="n">
        <f aca="false">SUMIFS(dados!$M$2:$M$1028,dados!$I$2:$I$1028,E483)</f>
        <v>0.0673543719164901</v>
      </c>
      <c r="H483" s="7" t="n">
        <f aca="false">SQRT(G483*40000/PI())</f>
        <v>29.2845095289087</v>
      </c>
      <c r="I483" s="11" t="n">
        <f aca="false">_xlfn.MAXIFS(dados!$N$2:$N$1028,dados!$I$2:$I$1028,E483)</f>
        <v>9</v>
      </c>
      <c r="J483" s="3"/>
      <c r="K483" s="3"/>
    </row>
    <row r="484" customFormat="false" ht="15" hidden="false" customHeight="false" outlineLevel="0" collapsed="false">
      <c r="A484" s="2" t="s">
        <v>70</v>
      </c>
      <c r="B484" s="2" t="s">
        <v>564</v>
      </c>
      <c r="C484" s="2" t="n">
        <v>15</v>
      </c>
      <c r="D484" s="2" t="s">
        <v>37</v>
      </c>
      <c r="E484" s="2" t="s">
        <v>579</v>
      </c>
      <c r="F484" s="6" t="n">
        <f aca="false">COUNTIF(dados!$I$2:$I$1028,E484)</f>
        <v>1</v>
      </c>
      <c r="G484" s="10" t="n">
        <f aca="false">SUMIFS(dados!$M$2:$M$1028,dados!$I$2:$I$1028,E484)</f>
        <v>0.00191184875389139</v>
      </c>
      <c r="H484" s="7" t="n">
        <f aca="false">SQRT(G484*40000/PI())</f>
        <v>4.93380323584876</v>
      </c>
      <c r="I484" s="11" t="n">
        <f aca="false">_xlfn.MAXIFS(dados!$N$2:$N$1028,dados!$I$2:$I$1028,E484)</f>
        <v>8</v>
      </c>
      <c r="J484" s="3"/>
      <c r="K484" s="3"/>
    </row>
    <row r="485" customFormat="false" ht="15" hidden="false" customHeight="false" outlineLevel="0" collapsed="false">
      <c r="A485" s="2" t="s">
        <v>70</v>
      </c>
      <c r="B485" s="2" t="s">
        <v>564</v>
      </c>
      <c r="C485" s="2" t="n">
        <v>16</v>
      </c>
      <c r="D485" s="2" t="s">
        <v>71</v>
      </c>
      <c r="E485" s="2" t="s">
        <v>580</v>
      </c>
      <c r="F485" s="6" t="n">
        <f aca="false">COUNTIF(dados!$I$2:$I$1028,E485)</f>
        <v>1</v>
      </c>
      <c r="G485" s="10" t="n">
        <f aca="false">SUMIFS(dados!$M$2:$M$1028,dados!$I$2:$I$1028,E485)</f>
        <v>0.0086659866513537</v>
      </c>
      <c r="H485" s="7" t="n">
        <f aca="false">SQRT(G485*40000/PI())</f>
        <v>10.5042262440651</v>
      </c>
      <c r="I485" s="11" t="n">
        <f aca="false">_xlfn.MAXIFS(dados!$N$2:$N$1028,dados!$I$2:$I$1028,E485)</f>
        <v>8</v>
      </c>
      <c r="J485" s="3"/>
      <c r="K485" s="3"/>
    </row>
    <row r="486" customFormat="false" ht="15" hidden="false" customHeight="false" outlineLevel="0" collapsed="false">
      <c r="A486" s="2" t="s">
        <v>70</v>
      </c>
      <c r="B486" s="2" t="s">
        <v>564</v>
      </c>
      <c r="C486" s="2" t="n">
        <v>16</v>
      </c>
      <c r="D486" s="2" t="s">
        <v>37</v>
      </c>
      <c r="E486" s="2" t="s">
        <v>581</v>
      </c>
      <c r="F486" s="6" t="n">
        <f aca="false">COUNTIF(dados!$I$2:$I$1028,E486)</f>
        <v>1</v>
      </c>
      <c r="G486" s="10" t="n">
        <f aca="false">SUMIFS(dados!$M$2:$M$1028,dados!$I$2:$I$1028,E486)</f>
        <v>0.0014502994189249</v>
      </c>
      <c r="H486" s="7" t="n">
        <f aca="false">SQRT(G486*40000/PI())</f>
        <v>4.29718346348117</v>
      </c>
      <c r="I486" s="11" t="n">
        <f aca="false">_xlfn.MAXIFS(dados!$N$2:$N$1028,dados!$I$2:$I$1028,E486)</f>
        <v>8</v>
      </c>
      <c r="J486" s="3"/>
      <c r="K486" s="3"/>
    </row>
    <row r="487" customFormat="false" ht="15" hidden="false" customHeight="false" outlineLevel="0" collapsed="false">
      <c r="A487" s="2" t="s">
        <v>70</v>
      </c>
      <c r="B487" s="2" t="s">
        <v>564</v>
      </c>
      <c r="C487" s="2" t="n">
        <v>17</v>
      </c>
      <c r="D487" s="2" t="s">
        <v>37</v>
      </c>
      <c r="E487" s="2" t="s">
        <v>582</v>
      </c>
      <c r="F487" s="6" t="n">
        <f aca="false">COUNTIF(dados!$I$2:$I$1028,E487)</f>
        <v>1</v>
      </c>
      <c r="G487" s="10" t="n">
        <f aca="false">SUMIFS(dados!$M$2:$M$1028,dados!$I$2:$I$1028,E487)</f>
        <v>0.0296107771622471</v>
      </c>
      <c r="H487" s="7" t="n">
        <f aca="false">SQRT(G487*40000/PI())</f>
        <v>19.4169030572112</v>
      </c>
      <c r="I487" s="11" t="n">
        <f aca="false">_xlfn.MAXIFS(dados!$N$2:$N$1028,dados!$I$2:$I$1028,E487)</f>
        <v>15</v>
      </c>
      <c r="J487" s="3"/>
      <c r="K487" s="3"/>
    </row>
    <row r="488" customFormat="false" ht="15" hidden="false" customHeight="false" outlineLevel="0" collapsed="false">
      <c r="A488" s="2" t="s">
        <v>70</v>
      </c>
      <c r="B488" s="2" t="s">
        <v>564</v>
      </c>
      <c r="C488" s="2" t="n">
        <v>18</v>
      </c>
      <c r="D488" s="2" t="s">
        <v>37</v>
      </c>
      <c r="E488" s="2" t="s">
        <v>583</v>
      </c>
      <c r="F488" s="6" t="n">
        <f aca="false">COUNTIF(dados!$I$2:$I$1028,E488)</f>
        <v>2</v>
      </c>
      <c r="G488" s="10" t="n">
        <f aca="false">SUMIFS(dados!$M$2:$M$1028,dados!$I$2:$I$1028,E488)</f>
        <v>0.0370532601885819</v>
      </c>
      <c r="H488" s="7" t="n">
        <f aca="false">SQRT(G488*40000/PI())</f>
        <v>21.7204226785446</v>
      </c>
      <c r="I488" s="11" t="n">
        <f aca="false">_xlfn.MAXIFS(dados!$N$2:$N$1028,dados!$I$2:$I$1028,E488)</f>
        <v>17</v>
      </c>
      <c r="J488" s="3"/>
      <c r="K488" s="3"/>
    </row>
    <row r="489" customFormat="false" ht="15" hidden="false" customHeight="false" outlineLevel="0" collapsed="false">
      <c r="A489" s="2" t="s">
        <v>70</v>
      </c>
      <c r="B489" s="2" t="s">
        <v>564</v>
      </c>
      <c r="C489" s="2" t="n">
        <v>19</v>
      </c>
      <c r="D489" s="2" t="s">
        <v>37</v>
      </c>
      <c r="E489" s="2" t="s">
        <v>584</v>
      </c>
      <c r="F489" s="6" t="n">
        <f aca="false">COUNTIF(dados!$I$2:$I$1028,E489)</f>
        <v>3</v>
      </c>
      <c r="G489" s="10" t="n">
        <f aca="false">SUMIFS(dados!$M$2:$M$1028,dados!$I$2:$I$1028,E489)</f>
        <v>0.0222259878027832</v>
      </c>
      <c r="H489" s="7" t="n">
        <f aca="false">SQRT(G489*40000/PI())</f>
        <v>16.8223085785825</v>
      </c>
      <c r="I489" s="11" t="n">
        <f aca="false">_xlfn.MAXIFS(dados!$N$2:$N$1028,dados!$I$2:$I$1028,E489)</f>
        <v>9</v>
      </c>
      <c r="J489" s="3"/>
      <c r="K489" s="3"/>
    </row>
    <row r="490" customFormat="false" ht="15" hidden="false" customHeight="false" outlineLevel="0" collapsed="false">
      <c r="A490" s="2" t="s">
        <v>70</v>
      </c>
      <c r="B490" s="2" t="s">
        <v>564</v>
      </c>
      <c r="C490" s="2" t="n">
        <v>20</v>
      </c>
      <c r="D490" s="2" t="s">
        <v>37</v>
      </c>
      <c r="E490" s="2" t="s">
        <v>585</v>
      </c>
      <c r="F490" s="6" t="n">
        <f aca="false">COUNTIF(dados!$I$2:$I$1028,E490)</f>
        <v>4</v>
      </c>
      <c r="G490" s="10" t="n">
        <f aca="false">SUMIFS(dados!$M$2:$M$1028,dados!$I$2:$I$1028,E490)</f>
        <v>0.00853468382330289</v>
      </c>
      <c r="H490" s="7" t="n">
        <f aca="false">SQRT(G490*40000/PI())</f>
        <v>10.4243450372869</v>
      </c>
      <c r="I490" s="11" t="n">
        <f aca="false">_xlfn.MAXIFS(dados!$N$2:$N$1028,dados!$I$2:$I$1028,E490)</f>
        <v>9</v>
      </c>
      <c r="J490" s="3"/>
      <c r="K490" s="3"/>
    </row>
    <row r="491" customFormat="false" ht="15" hidden="false" customHeight="false" outlineLevel="0" collapsed="false">
      <c r="A491" s="2" t="s">
        <v>70</v>
      </c>
      <c r="B491" s="2" t="s">
        <v>564</v>
      </c>
      <c r="C491" s="2" t="n">
        <v>21</v>
      </c>
      <c r="D491" s="2" t="s">
        <v>37</v>
      </c>
      <c r="E491" s="2" t="s">
        <v>586</v>
      </c>
      <c r="F491" s="6" t="n">
        <f aca="false">COUNTIF(dados!$I$2:$I$1028,E491)</f>
        <v>4</v>
      </c>
      <c r="G491" s="10" t="n">
        <f aca="false">SUMIFS(dados!$M$2:$M$1028,dados!$I$2:$I$1028,E491)</f>
        <v>0.0329510415303883</v>
      </c>
      <c r="H491" s="7" t="n">
        <f aca="false">SQRT(G491*40000/PI())</f>
        <v>20.4828145323588</v>
      </c>
      <c r="I491" s="11" t="n">
        <f aca="false">_xlfn.MAXIFS(dados!$N$2:$N$1028,dados!$I$2:$I$1028,E491)</f>
        <v>8.5</v>
      </c>
      <c r="J491" s="3"/>
      <c r="K491" s="3"/>
    </row>
    <row r="492" customFormat="false" ht="15" hidden="false" customHeight="false" outlineLevel="0" collapsed="false">
      <c r="A492" s="2" t="s">
        <v>70</v>
      </c>
      <c r="B492" s="2" t="s">
        <v>564</v>
      </c>
      <c r="C492" s="2" t="n">
        <v>22</v>
      </c>
      <c r="D492" s="2" t="s">
        <v>37</v>
      </c>
      <c r="E492" s="2" t="s">
        <v>587</v>
      </c>
      <c r="F492" s="6" t="n">
        <f aca="false">COUNTIF(dados!$I$2:$I$1028,E492)</f>
        <v>1</v>
      </c>
      <c r="G492" s="10" t="n">
        <f aca="false">SUMIFS(dados!$M$2:$M$1028,dados!$I$2:$I$1028,E492)</f>
        <v>0.0232047907027983</v>
      </c>
      <c r="H492" s="7" t="n">
        <f aca="false">SQRT(G492*40000/PI())</f>
        <v>17.1887338539247</v>
      </c>
      <c r="I492" s="11" t="n">
        <f aca="false">_xlfn.MAXIFS(dados!$N$2:$N$1028,dados!$I$2:$I$1028,E492)</f>
        <v>13</v>
      </c>
      <c r="J492" s="3"/>
      <c r="K492" s="3"/>
    </row>
    <row r="493" customFormat="false" ht="15" hidden="false" customHeight="false" outlineLevel="0" collapsed="false">
      <c r="A493" s="2" t="s">
        <v>70</v>
      </c>
      <c r="B493" s="2" t="s">
        <v>564</v>
      </c>
      <c r="C493" s="2" t="n">
        <v>23</v>
      </c>
      <c r="D493" s="2" t="s">
        <v>37</v>
      </c>
      <c r="E493" s="2" t="s">
        <v>588</v>
      </c>
      <c r="F493" s="6" t="n">
        <f aca="false">COUNTIF(dados!$I$2:$I$1028,E493)</f>
        <v>9</v>
      </c>
      <c r="G493" s="10" t="n">
        <f aca="false">SUMIFS(dados!$M$2:$M$1028,dados!$I$2:$I$1028,E493)</f>
        <v>0.0697775059250642</v>
      </c>
      <c r="H493" s="7" t="n">
        <f aca="false">SQRT(G493*40000/PI())</f>
        <v>29.8066234043348</v>
      </c>
      <c r="I493" s="11" t="n">
        <f aca="false">_xlfn.MAXIFS(dados!$N$2:$N$1028,dados!$I$2:$I$1028,E493)</f>
        <v>10</v>
      </c>
      <c r="J493" s="3"/>
      <c r="K493" s="3"/>
    </row>
    <row r="494" customFormat="false" ht="15" hidden="false" customHeight="false" outlineLevel="0" collapsed="false">
      <c r="A494" s="2" t="s">
        <v>70</v>
      </c>
      <c r="B494" s="2" t="s">
        <v>564</v>
      </c>
      <c r="C494" s="2" t="n">
        <v>24</v>
      </c>
      <c r="D494" s="2" t="s">
        <v>37</v>
      </c>
      <c r="E494" s="2" t="s">
        <v>589</v>
      </c>
      <c r="F494" s="6" t="n">
        <f aca="false">COUNTIF(dados!$I$2:$I$1028,E494)</f>
        <v>1</v>
      </c>
      <c r="G494" s="10" t="n">
        <f aca="false">SUMIFS(dados!$M$2:$M$1028,dados!$I$2:$I$1028,E494)</f>
        <v>0.00764739501556557</v>
      </c>
      <c r="H494" s="7" t="n">
        <f aca="false">SQRT(G494*40000/PI())</f>
        <v>9.86760647169751</v>
      </c>
      <c r="I494" s="11" t="n">
        <f aca="false">_xlfn.MAXIFS(dados!$N$2:$N$1028,dados!$I$2:$I$1028,E494)</f>
        <v>8</v>
      </c>
      <c r="J494" s="3"/>
      <c r="K494" s="3"/>
    </row>
    <row r="495" customFormat="false" ht="15" hidden="false" customHeight="false" outlineLevel="0" collapsed="false">
      <c r="A495" s="2" t="s">
        <v>70</v>
      </c>
      <c r="B495" s="2" t="s">
        <v>564</v>
      </c>
      <c r="C495" s="2" t="n">
        <v>25</v>
      </c>
      <c r="D495" s="2" t="s">
        <v>37</v>
      </c>
      <c r="E495" s="2" t="s">
        <v>590</v>
      </c>
      <c r="F495" s="6" t="n">
        <f aca="false">COUNTIF(dados!$I$2:$I$1028,E495)</f>
        <v>2</v>
      </c>
      <c r="G495" s="10" t="n">
        <f aca="false">SUMIFS(dados!$M$2:$M$1028,dados!$I$2:$I$1028,E495)</f>
        <v>0.0296127665990358</v>
      </c>
      <c r="H495" s="7" t="n">
        <f aca="false">SQRT(G495*40000/PI())</f>
        <v>19.4175553206126</v>
      </c>
      <c r="I495" s="11" t="n">
        <f aca="false">_xlfn.MAXIFS(dados!$N$2:$N$1028,dados!$I$2:$I$1028,E495)</f>
        <v>12</v>
      </c>
      <c r="J495" s="3"/>
      <c r="K495" s="3"/>
    </row>
    <row r="496" customFormat="false" ht="15" hidden="false" customHeight="false" outlineLevel="0" collapsed="false">
      <c r="A496" s="2" t="s">
        <v>70</v>
      </c>
      <c r="B496" s="2" t="s">
        <v>564</v>
      </c>
      <c r="C496" s="2" t="n">
        <v>26</v>
      </c>
      <c r="D496" s="2" t="s">
        <v>37</v>
      </c>
      <c r="E496" s="2" t="s">
        <v>591</v>
      </c>
      <c r="F496" s="6" t="n">
        <f aca="false">COUNTIF(dados!$I$2:$I$1028,E496)</f>
        <v>7</v>
      </c>
      <c r="G496" s="10" t="n">
        <f aca="false">SUMIFS(dados!$M$2:$M$1028,dados!$I$2:$I$1028,E496)</f>
        <v>0.0162338041953733</v>
      </c>
      <c r="H496" s="7" t="n">
        <f aca="false">SQRT(G496*40000/PI())</f>
        <v>14.3768986443659</v>
      </c>
      <c r="I496" s="11" t="n">
        <f aca="false">_xlfn.MAXIFS(dados!$N$2:$N$1028,dados!$I$2:$I$1028,E496)</f>
        <v>16</v>
      </c>
      <c r="J496" s="3"/>
      <c r="K496" s="3"/>
    </row>
    <row r="497" customFormat="false" ht="15" hidden="false" customHeight="false" outlineLevel="0" collapsed="false">
      <c r="A497" s="2" t="s">
        <v>70</v>
      </c>
      <c r="B497" s="2" t="s">
        <v>564</v>
      </c>
      <c r="C497" s="2" t="n">
        <v>27</v>
      </c>
      <c r="D497" s="2" t="s">
        <v>37</v>
      </c>
      <c r="E497" s="2" t="s">
        <v>592</v>
      </c>
      <c r="F497" s="6" t="n">
        <f aca="false">COUNTIF(dados!$I$2:$I$1028,E497)</f>
        <v>7</v>
      </c>
      <c r="G497" s="10" t="n">
        <f aca="false">SUMIFS(dados!$M$2:$M$1028,dados!$I$2:$I$1028,E497)</f>
        <v>0.0708518017909345</v>
      </c>
      <c r="H497" s="7" t="n">
        <f aca="false">SQRT(G497*40000/PI())</f>
        <v>30.0351986602312</v>
      </c>
      <c r="I497" s="11" t="n">
        <f aca="false">_xlfn.MAXIFS(dados!$N$2:$N$1028,dados!$I$2:$I$1028,E497)</f>
        <v>14</v>
      </c>
      <c r="J497" s="3"/>
      <c r="K497" s="3"/>
    </row>
    <row r="498" customFormat="false" ht="15" hidden="false" customHeight="false" outlineLevel="0" collapsed="false">
      <c r="A498" s="2" t="s">
        <v>70</v>
      </c>
      <c r="B498" s="2" t="s">
        <v>564</v>
      </c>
      <c r="C498" s="2" t="n">
        <v>28</v>
      </c>
      <c r="D498" s="2" t="s">
        <v>37</v>
      </c>
      <c r="E498" s="2" t="s">
        <v>593</v>
      </c>
      <c r="F498" s="6" t="n">
        <f aca="false">COUNTIF(dados!$I$2:$I$1028,E498)</f>
        <v>8</v>
      </c>
      <c r="G498" s="10" t="n">
        <f aca="false">SUMIFS(dados!$M$2:$M$1028,dados!$I$2:$I$1028,E498)</f>
        <v>0.0547373638028801</v>
      </c>
      <c r="H498" s="7" t="n">
        <f aca="false">SQRT(G498*40000/PI())</f>
        <v>26.3995788164096</v>
      </c>
      <c r="I498" s="11" t="n">
        <f aca="false">_xlfn.MAXIFS(dados!$N$2:$N$1028,dados!$I$2:$I$1028,E498)</f>
        <v>10</v>
      </c>
      <c r="J498" s="3"/>
      <c r="K498" s="3"/>
    </row>
    <row r="499" customFormat="false" ht="15" hidden="false" customHeight="false" outlineLevel="0" collapsed="false">
      <c r="A499" s="2" t="s">
        <v>70</v>
      </c>
      <c r="B499" s="2" t="s">
        <v>564</v>
      </c>
      <c r="C499" s="2" t="n">
        <v>29</v>
      </c>
      <c r="D499" s="2" t="s">
        <v>37</v>
      </c>
      <c r="E499" s="2" t="s">
        <v>594</v>
      </c>
      <c r="F499" s="6" t="n">
        <f aca="false">COUNTIF(dados!$I$2:$I$1028,E499)</f>
        <v>1</v>
      </c>
      <c r="G499" s="10" t="n">
        <f aca="false">SUMIFS(dados!$M$2:$M$1028,dados!$I$2:$I$1028,E499)</f>
        <v>0.00287274672280871</v>
      </c>
      <c r="H499" s="7" t="n">
        <f aca="false">SQRT(G499*40000/PI())</f>
        <v>6.04788783749202</v>
      </c>
      <c r="I499" s="11" t="n">
        <f aca="false">_xlfn.MAXIFS(dados!$N$2:$N$1028,dados!$I$2:$I$1028,E499)</f>
        <v>10</v>
      </c>
      <c r="J499" s="3"/>
      <c r="K499" s="3"/>
    </row>
    <row r="500" customFormat="false" ht="15" hidden="false" customHeight="false" outlineLevel="0" collapsed="false">
      <c r="A500" s="2" t="s">
        <v>70</v>
      </c>
      <c r="B500" s="2" t="s">
        <v>564</v>
      </c>
      <c r="C500" s="2" t="n">
        <v>30</v>
      </c>
      <c r="D500" s="2" t="s">
        <v>37</v>
      </c>
      <c r="E500" s="2" t="s">
        <v>595</v>
      </c>
      <c r="F500" s="6" t="n">
        <f aca="false">COUNTIF(dados!$I$2:$I$1028,E500)</f>
        <v>6</v>
      </c>
      <c r="G500" s="10" t="n">
        <f aca="false">SUMIFS(dados!$M$2:$M$1028,dados!$I$2:$I$1028,E500)</f>
        <v>0.0148690505583603</v>
      </c>
      <c r="H500" s="7" t="n">
        <f aca="false">SQRT(G500*40000/PI())</f>
        <v>13.7593107253128</v>
      </c>
      <c r="I500" s="11" t="n">
        <f aca="false">_xlfn.MAXIFS(dados!$N$2:$N$1028,dados!$I$2:$I$1028,E500)</f>
        <v>7</v>
      </c>
      <c r="J500" s="3"/>
      <c r="K500" s="3"/>
    </row>
    <row r="501" customFormat="false" ht="15" hidden="false" customHeight="false" outlineLevel="0" collapsed="false">
      <c r="A501" s="2" t="s">
        <v>70</v>
      </c>
      <c r="B501" s="2" t="s">
        <v>564</v>
      </c>
      <c r="C501" s="2" t="n">
        <v>31</v>
      </c>
      <c r="D501" s="2" t="s">
        <v>37</v>
      </c>
      <c r="E501" s="2" t="s">
        <v>596</v>
      </c>
      <c r="F501" s="6" t="n">
        <f aca="false">COUNTIF(dados!$I$2:$I$1028,E501)</f>
        <v>1</v>
      </c>
      <c r="G501" s="10" t="n">
        <f aca="false">SUMIFS(dados!$M$2:$M$1028,dados!$I$2:$I$1028,E501)</f>
        <v>0.00740269429056178</v>
      </c>
      <c r="H501" s="7" t="n">
        <f aca="false">SQRT(G501*40000/PI())</f>
        <v>9.70845152860562</v>
      </c>
      <c r="I501" s="11" t="n">
        <f aca="false">_xlfn.MAXIFS(dados!$N$2:$N$1028,dados!$I$2:$I$1028,E501)</f>
        <v>8</v>
      </c>
      <c r="J501" s="3"/>
      <c r="K501" s="3"/>
    </row>
    <row r="502" customFormat="false" ht="15" hidden="false" customHeight="false" outlineLevel="0" collapsed="false">
      <c r="A502" s="2" t="s">
        <v>70</v>
      </c>
      <c r="B502" s="2" t="s">
        <v>564</v>
      </c>
      <c r="C502" s="2" t="n">
        <v>32</v>
      </c>
      <c r="D502" s="2" t="s">
        <v>37</v>
      </c>
      <c r="E502" s="2" t="s">
        <v>597</v>
      </c>
      <c r="F502" s="6" t="n">
        <f aca="false">COUNTIF(dados!$I$2:$I$1028,E502)</f>
        <v>2</v>
      </c>
      <c r="G502" s="10" t="n">
        <f aca="false">SUMIFS(dados!$M$2:$M$1028,dados!$I$2:$I$1028,E502)</f>
        <v>0.0136256525654549</v>
      </c>
      <c r="H502" s="7" t="n">
        <f aca="false">SQRT(G502*40000/PI())</f>
        <v>13.1714538564121</v>
      </c>
      <c r="I502" s="11" t="n">
        <f aca="false">_xlfn.MAXIFS(dados!$N$2:$N$1028,dados!$I$2:$I$1028,E502)</f>
        <v>9</v>
      </c>
      <c r="J502" s="3"/>
      <c r="K502" s="3"/>
    </row>
    <row r="503" customFormat="false" ht="15" hidden="false" customHeight="false" outlineLevel="0" collapsed="false">
      <c r="A503" s="2" t="s">
        <v>70</v>
      </c>
      <c r="B503" s="2" t="s">
        <v>564</v>
      </c>
      <c r="C503" s="2" t="n">
        <v>33</v>
      </c>
      <c r="D503" s="2" t="s">
        <v>37</v>
      </c>
      <c r="E503" s="2" t="s">
        <v>598</v>
      </c>
      <c r="F503" s="6" t="n">
        <f aca="false">COUNTIF(dados!$I$2:$I$1028,E503)</f>
        <v>1</v>
      </c>
      <c r="G503" s="10" t="n">
        <f aca="false">SUMIFS(dados!$M$2:$M$1028,dados!$I$2:$I$1028,E503)</f>
        <v>0.00179049310978382</v>
      </c>
      <c r="H503" s="7" t="n">
        <f aca="false">SQRT(G503*40000/PI())</f>
        <v>4.77464829275686</v>
      </c>
      <c r="I503" s="11" t="n">
        <f aca="false">_xlfn.MAXIFS(dados!$N$2:$N$1028,dados!$I$2:$I$1028,E503)</f>
        <v>6</v>
      </c>
      <c r="J503" s="3"/>
      <c r="K503" s="3"/>
    </row>
    <row r="504" customFormat="false" ht="15" hidden="false" customHeight="false" outlineLevel="0" collapsed="false">
      <c r="A504" s="2" t="s">
        <v>70</v>
      </c>
      <c r="B504" s="2" t="s">
        <v>564</v>
      </c>
      <c r="C504" s="2" t="n">
        <v>34</v>
      </c>
      <c r="D504" s="2" t="s">
        <v>37</v>
      </c>
      <c r="E504" s="2" t="s">
        <v>599</v>
      </c>
      <c r="F504" s="6" t="n">
        <f aca="false">COUNTIF(dados!$I$2:$I$1028,E504)</f>
        <v>3</v>
      </c>
      <c r="G504" s="10" t="n">
        <f aca="false">SUMIFS(dados!$M$2:$M$1028,dados!$I$2:$I$1028,E504)</f>
        <v>0.0085147894554164</v>
      </c>
      <c r="H504" s="7" t="n">
        <f aca="false">SQRT(G504*40000/PI())</f>
        <v>10.4121883625538</v>
      </c>
      <c r="I504" s="11" t="n">
        <f aca="false">_xlfn.MAXIFS(dados!$N$2:$N$1028,dados!$I$2:$I$1028,E504)</f>
        <v>7</v>
      </c>
      <c r="J504" s="3"/>
      <c r="K504" s="3"/>
    </row>
    <row r="505" customFormat="false" ht="15" hidden="false" customHeight="false" outlineLevel="0" collapsed="false">
      <c r="A505" s="2" t="s">
        <v>70</v>
      </c>
      <c r="B505" s="2" t="s">
        <v>564</v>
      </c>
      <c r="C505" s="2" t="n">
        <v>35</v>
      </c>
      <c r="D505" s="2" t="s">
        <v>37</v>
      </c>
      <c r="E505" s="2" t="s">
        <v>600</v>
      </c>
      <c r="F505" s="6" t="n">
        <f aca="false">COUNTIF(dados!$I$2:$I$1028,E505)</f>
        <v>1</v>
      </c>
      <c r="G505" s="10" t="n">
        <f aca="false">SUMIFS(dados!$M$2:$M$1028,dados!$I$2:$I$1028,E505)</f>
        <v>0.0157583288028863</v>
      </c>
      <c r="H505" s="7" t="n">
        <f aca="false">SQRT(G505*40000/PI())</f>
        <v>14.1647899351787</v>
      </c>
      <c r="I505" s="11" t="n">
        <f aca="false">_xlfn.MAXIFS(dados!$N$2:$N$1028,dados!$I$2:$I$1028,E505)</f>
        <v>10</v>
      </c>
      <c r="J505" s="3"/>
      <c r="K505" s="3"/>
    </row>
    <row r="506" customFormat="false" ht="15" hidden="false" customHeight="false" outlineLevel="0" collapsed="false">
      <c r="A506" s="2" t="s">
        <v>70</v>
      </c>
      <c r="B506" s="2" t="s">
        <v>564</v>
      </c>
      <c r="C506" s="2" t="n">
        <v>36</v>
      </c>
      <c r="D506" s="2" t="s">
        <v>37</v>
      </c>
      <c r="E506" s="2" t="s">
        <v>601</v>
      </c>
      <c r="F506" s="6" t="n">
        <f aca="false">COUNTIF(dados!$I$2:$I$1028,E506)</f>
        <v>1</v>
      </c>
      <c r="G506" s="10" t="n">
        <f aca="false">SUMIFS(dados!$M$2:$M$1028,dados!$I$2:$I$1028,E506)</f>
        <v>0.0179546670175544</v>
      </c>
      <c r="H506" s="7" t="n">
        <f aca="false">SQRT(G506*40000/PI())</f>
        <v>15.1197195937301</v>
      </c>
      <c r="I506" s="11" t="n">
        <f aca="false">_xlfn.MAXIFS(dados!$N$2:$N$1028,dados!$I$2:$I$1028,E506)</f>
        <v>11</v>
      </c>
      <c r="J506" s="3"/>
      <c r="K506" s="3"/>
    </row>
    <row r="507" customFormat="false" ht="15" hidden="false" customHeight="false" outlineLevel="0" collapsed="false">
      <c r="A507" s="2" t="s">
        <v>70</v>
      </c>
      <c r="B507" s="2" t="s">
        <v>564</v>
      </c>
      <c r="C507" s="2" t="n">
        <v>37</v>
      </c>
      <c r="D507" s="2" t="s">
        <v>37</v>
      </c>
      <c r="E507" s="2" t="s">
        <v>602</v>
      </c>
      <c r="F507" s="6" t="n">
        <f aca="false">COUNTIF(dados!$I$2:$I$1028,E507)</f>
        <v>2</v>
      </c>
      <c r="G507" s="10" t="n">
        <f aca="false">SUMIFS(dados!$M$2:$M$1028,dados!$I$2:$I$1028,E507)</f>
        <v>0.0169539803128642</v>
      </c>
      <c r="H507" s="7" t="n">
        <f aca="false">SQRT(G507*40000/PI())</f>
        <v>14.692337518244</v>
      </c>
      <c r="I507" s="11" t="n">
        <f aca="false">_xlfn.MAXIFS(dados!$N$2:$N$1028,dados!$I$2:$I$1028,E507)</f>
        <v>10</v>
      </c>
      <c r="J507" s="3"/>
      <c r="K507" s="3"/>
    </row>
    <row r="508" customFormat="false" ht="15" hidden="false" customHeight="false" outlineLevel="0" collapsed="false">
      <c r="A508" s="2" t="s">
        <v>70</v>
      </c>
      <c r="B508" s="2" t="s">
        <v>564</v>
      </c>
      <c r="C508" s="2" t="n">
        <v>38</v>
      </c>
      <c r="D508" s="2" t="s">
        <v>37</v>
      </c>
      <c r="E508" s="2" t="s">
        <v>603</v>
      </c>
      <c r="F508" s="6" t="n">
        <f aca="false">COUNTIF(dados!$I$2:$I$1028,E508)</f>
        <v>2</v>
      </c>
      <c r="G508" s="10" t="n">
        <f aca="false">SUMIFS(dados!$M$2:$M$1028,dados!$I$2:$I$1028,E508)</f>
        <v>0.00576936668708121</v>
      </c>
      <c r="H508" s="7" t="n">
        <f aca="false">SQRT(G508*40000/PI())</f>
        <v>8.57075598419969</v>
      </c>
      <c r="I508" s="11" t="n">
        <f aca="false">_xlfn.MAXIFS(dados!$N$2:$N$1028,dados!$I$2:$I$1028,E508)</f>
        <v>8</v>
      </c>
      <c r="J508" s="3"/>
      <c r="K508" s="3"/>
    </row>
    <row r="509" customFormat="false" ht="15" hidden="false" customHeight="false" outlineLevel="0" collapsed="false">
      <c r="A509" s="2" t="s">
        <v>70</v>
      </c>
      <c r="B509" s="2" t="s">
        <v>564</v>
      </c>
      <c r="C509" s="2" t="n">
        <v>39</v>
      </c>
      <c r="D509" s="2" t="s">
        <v>37</v>
      </c>
      <c r="E509" s="2" t="s">
        <v>604</v>
      </c>
      <c r="F509" s="6" t="n">
        <f aca="false">COUNTIF(dados!$I$2:$I$1028,E509)</f>
        <v>1</v>
      </c>
      <c r="G509" s="10" t="n">
        <f aca="false">SUMIFS(dados!$M$2:$M$1028,dados!$I$2:$I$1028,E509)</f>
        <v>0.020698100349101</v>
      </c>
      <c r="H509" s="7" t="n">
        <f aca="false">SQRT(G509*40000/PI())</f>
        <v>16.2338041953733</v>
      </c>
      <c r="I509" s="11" t="n">
        <f aca="false">_xlfn.MAXIFS(dados!$N$2:$N$1028,dados!$I$2:$I$1028,E509)</f>
        <v>9</v>
      </c>
      <c r="J509" s="3"/>
      <c r="K509" s="3"/>
    </row>
    <row r="510" customFormat="false" ht="15" hidden="false" customHeight="false" outlineLevel="0" collapsed="false">
      <c r="A510" s="2" t="s">
        <v>70</v>
      </c>
      <c r="B510" s="2" t="s">
        <v>564</v>
      </c>
      <c r="C510" s="2" t="n">
        <v>40</v>
      </c>
      <c r="D510" s="2" t="s">
        <v>37</v>
      </c>
      <c r="E510" s="2" t="s">
        <v>605</v>
      </c>
      <c r="F510" s="6" t="n">
        <f aca="false">COUNTIF(dados!$I$2:$I$1028,E510)</f>
        <v>1</v>
      </c>
      <c r="G510" s="10" t="n">
        <f aca="false">SUMIFS(dados!$M$2:$M$1028,dados!$I$2:$I$1028,E510)</f>
        <v>0.00318309886183791</v>
      </c>
      <c r="H510" s="7" t="n">
        <f aca="false">SQRT(G510*40000/PI())</f>
        <v>6.36619772367581</v>
      </c>
      <c r="I510" s="11" t="n">
        <f aca="false">_xlfn.MAXIFS(dados!$N$2:$N$1028,dados!$I$2:$I$1028,E510)</f>
        <v>8</v>
      </c>
      <c r="J510" s="3"/>
      <c r="K510" s="3"/>
    </row>
    <row r="511" customFormat="false" ht="15" hidden="false" customHeight="false" outlineLevel="0" collapsed="false">
      <c r="A511" s="2" t="s">
        <v>70</v>
      </c>
      <c r="B511" s="2" t="s">
        <v>564</v>
      </c>
      <c r="C511" s="2" t="n">
        <v>41</v>
      </c>
      <c r="D511" s="2" t="s">
        <v>37</v>
      </c>
      <c r="E511" s="2" t="s">
        <v>606</v>
      </c>
      <c r="F511" s="6" t="n">
        <f aca="false">COUNTIF(dados!$I$2:$I$1028,E511)</f>
        <v>1</v>
      </c>
      <c r="G511" s="10" t="n">
        <f aca="false">SUMIFS(dados!$M$2:$M$1028,dados!$I$2:$I$1028,E511)</f>
        <v>0.00814873308630504</v>
      </c>
      <c r="H511" s="7" t="n">
        <f aca="false">SQRT(G511*40000/PI())</f>
        <v>10.1859163578813</v>
      </c>
      <c r="I511" s="11" t="n">
        <f aca="false">_xlfn.MAXIFS(dados!$N$2:$N$1028,dados!$I$2:$I$1028,E511)</f>
        <v>12</v>
      </c>
      <c r="J511" s="3"/>
      <c r="K511" s="3"/>
    </row>
    <row r="512" customFormat="false" ht="15" hidden="false" customHeight="false" outlineLevel="0" collapsed="false">
      <c r="A512" s="2" t="s">
        <v>70</v>
      </c>
      <c r="B512" s="2" t="s">
        <v>564</v>
      </c>
      <c r="C512" s="2" t="n">
        <v>42</v>
      </c>
      <c r="D512" s="2" t="s">
        <v>73</v>
      </c>
      <c r="E512" s="2" t="s">
        <v>607</v>
      </c>
      <c r="F512" s="6" t="n">
        <f aca="false">COUNTIF(dados!$I$2:$I$1028,E512)</f>
        <v>3</v>
      </c>
      <c r="G512" s="10" t="n">
        <f aca="false">SUMIFS(dados!$M$2:$M$1028,dados!$I$2:$I$1028,E512)</f>
        <v>0.00479056378706605</v>
      </c>
      <c r="H512" s="7" t="n">
        <f aca="false">SQRT(G512*40000/PI())</f>
        <v>7.80995214791277</v>
      </c>
      <c r="I512" s="11" t="n">
        <f aca="false">_xlfn.MAXIFS(dados!$N$2:$N$1028,dados!$I$2:$I$1028,E512)</f>
        <v>4</v>
      </c>
      <c r="J512" s="3"/>
      <c r="K512" s="3"/>
    </row>
    <row r="513" customFormat="false" ht="15" hidden="false" customHeight="false" outlineLevel="0" collapsed="false">
      <c r="A513" s="2" t="s">
        <v>70</v>
      </c>
      <c r="B513" s="2" t="s">
        <v>564</v>
      </c>
      <c r="C513" s="2" t="n">
        <v>43</v>
      </c>
      <c r="D513" s="2" t="s">
        <v>37</v>
      </c>
      <c r="E513" s="2" t="s">
        <v>608</v>
      </c>
      <c r="F513" s="6" t="n">
        <f aca="false">COUNTIF(dados!$I$2:$I$1028,E513)</f>
        <v>2</v>
      </c>
      <c r="G513" s="10" t="n">
        <f aca="false">SUMIFS(dados!$M$2:$M$1028,dados!$I$2:$I$1028,E513)</f>
        <v>0.0272493156941211</v>
      </c>
      <c r="H513" s="7" t="n">
        <f aca="false">SQRT(G513*40000/PI())</f>
        <v>18.6265687416463</v>
      </c>
      <c r="I513" s="11" t="n">
        <f aca="false">_xlfn.MAXIFS(dados!$N$2:$N$1028,dados!$I$2:$I$1028,E513)</f>
        <v>10</v>
      </c>
      <c r="J513" s="3"/>
      <c r="K513" s="3"/>
    </row>
    <row r="514" customFormat="false" ht="15" hidden="false" customHeight="false" outlineLevel="0" collapsed="false">
      <c r="A514" s="2" t="s">
        <v>70</v>
      </c>
      <c r="B514" s="2" t="s">
        <v>564</v>
      </c>
      <c r="C514" s="2" t="n">
        <v>44</v>
      </c>
      <c r="D514" s="2" t="s">
        <v>60</v>
      </c>
      <c r="E514" s="2" t="s">
        <v>609</v>
      </c>
      <c r="F514" s="6" t="n">
        <f aca="false">COUNTIF(dados!$I$2:$I$1028,E514)</f>
        <v>1</v>
      </c>
      <c r="G514" s="10" t="n">
        <f aca="false">SUMIFS(dados!$M$2:$M$1028,dados!$I$2:$I$1028,E514)</f>
        <v>0.00537943707650606</v>
      </c>
      <c r="H514" s="7" t="n">
        <f aca="false">SQRT(G514*40000/PI())</f>
        <v>8.27605704077856</v>
      </c>
      <c r="I514" s="11" t="n">
        <f aca="false">_xlfn.MAXIFS(dados!$N$2:$N$1028,dados!$I$2:$I$1028,E514)</f>
        <v>9</v>
      </c>
      <c r="J514" s="3"/>
      <c r="K514" s="3"/>
    </row>
    <row r="515" customFormat="false" ht="15" hidden="false" customHeight="false" outlineLevel="0" collapsed="false">
      <c r="A515" s="2" t="s">
        <v>70</v>
      </c>
      <c r="B515" s="2" t="s">
        <v>564</v>
      </c>
      <c r="C515" s="2" t="n">
        <v>45</v>
      </c>
      <c r="D515" s="2" t="s">
        <v>37</v>
      </c>
      <c r="E515" s="2" t="s">
        <v>610</v>
      </c>
      <c r="F515" s="6" t="n">
        <f aca="false">COUNTIF(dados!$I$2:$I$1028,E515)</f>
        <v>3</v>
      </c>
      <c r="G515" s="10" t="n">
        <f aca="false">SUMIFS(dados!$M$2:$M$1028,dados!$I$2:$I$1028,E515)</f>
        <v>0.0119465679158354</v>
      </c>
      <c r="H515" s="7" t="n">
        <f aca="false">SQRT(G515*40000/PI())</f>
        <v>12.3332245152296</v>
      </c>
      <c r="I515" s="11" t="n">
        <f aca="false">_xlfn.MAXIFS(dados!$N$2:$N$1028,dados!$I$2:$I$1028,E515)</f>
        <v>9</v>
      </c>
      <c r="J515" s="3"/>
      <c r="K515" s="3"/>
    </row>
    <row r="516" customFormat="false" ht="15" hidden="false" customHeight="false" outlineLevel="0" collapsed="false">
      <c r="A516" s="2" t="s">
        <v>70</v>
      </c>
      <c r="B516" s="2" t="s">
        <v>564</v>
      </c>
      <c r="C516" s="2" t="n">
        <v>46</v>
      </c>
      <c r="D516" s="2" t="s">
        <v>37</v>
      </c>
      <c r="E516" s="2" t="s">
        <v>611</v>
      </c>
      <c r="F516" s="6" t="n">
        <f aca="false">COUNTIF(dados!$I$2:$I$1028,E516)</f>
        <v>4</v>
      </c>
      <c r="G516" s="10" t="n">
        <f aca="false">SUMIFS(dados!$M$2:$M$1028,dados!$I$2:$I$1028,E516)</f>
        <v>0.027080213567086</v>
      </c>
      <c r="H516" s="7" t="n">
        <f aca="false">SQRT(G516*40000/PI())</f>
        <v>18.568682988701</v>
      </c>
      <c r="I516" s="11" t="n">
        <f aca="false">_xlfn.MAXIFS(dados!$N$2:$N$1028,dados!$I$2:$I$1028,E516)</f>
        <v>9</v>
      </c>
      <c r="J516" s="3"/>
      <c r="K516" s="3"/>
    </row>
    <row r="517" customFormat="false" ht="15" hidden="false" customHeight="false" outlineLevel="0" collapsed="false">
      <c r="A517" s="2" t="s">
        <v>70</v>
      </c>
      <c r="B517" s="2" t="s">
        <v>564</v>
      </c>
      <c r="C517" s="2" t="n">
        <v>47</v>
      </c>
      <c r="D517" s="2" t="s">
        <v>37</v>
      </c>
      <c r="E517" s="2" t="s">
        <v>612</v>
      </c>
      <c r="F517" s="6" t="n">
        <f aca="false">COUNTIF(dados!$I$2:$I$1028,E517)</f>
        <v>2</v>
      </c>
      <c r="G517" s="10" t="n">
        <f aca="false">SUMIFS(dados!$M$2:$M$1028,dados!$I$2:$I$1028,E517)</f>
        <v>0.01188091650181</v>
      </c>
      <c r="H517" s="7" t="n">
        <f aca="false">SQRT(G517*40000/PI())</f>
        <v>12.2992897021743</v>
      </c>
      <c r="I517" s="11" t="n">
        <f aca="false">_xlfn.MAXIFS(dados!$N$2:$N$1028,dados!$I$2:$I$1028,E517)</f>
        <v>8</v>
      </c>
      <c r="J517" s="3"/>
      <c r="K517" s="3"/>
    </row>
    <row r="518" customFormat="false" ht="15" hidden="false" customHeight="false" outlineLevel="0" collapsed="false">
      <c r="A518" s="2" t="s">
        <v>70</v>
      </c>
      <c r="B518" s="2" t="s">
        <v>564</v>
      </c>
      <c r="C518" s="2" t="n">
        <v>48</v>
      </c>
      <c r="D518" s="2" t="s">
        <v>37</v>
      </c>
      <c r="E518" s="2" t="s">
        <v>613</v>
      </c>
      <c r="F518" s="6" t="n">
        <f aca="false">COUNTIF(dados!$I$2:$I$1028,E518)</f>
        <v>5</v>
      </c>
      <c r="G518" s="10" t="n">
        <f aca="false">SUMIFS(dados!$M$2:$M$1028,dados!$I$2:$I$1028,E518)</f>
        <v>0.0181197902710123</v>
      </c>
      <c r="H518" s="7" t="n">
        <f aca="false">SQRT(G518*40000/PI())</f>
        <v>15.1890860539271</v>
      </c>
      <c r="I518" s="11" t="n">
        <f aca="false">_xlfn.MAXIFS(dados!$N$2:$N$1028,dados!$I$2:$I$1028,E518)</f>
        <v>11</v>
      </c>
      <c r="J518" s="3"/>
      <c r="K518" s="3"/>
    </row>
    <row r="519" customFormat="false" ht="15" hidden="false" customHeight="false" outlineLevel="0" collapsed="false">
      <c r="A519" s="2" t="s">
        <v>70</v>
      </c>
      <c r="B519" s="2" t="s">
        <v>564</v>
      </c>
      <c r="C519" s="2" t="n">
        <v>49</v>
      </c>
      <c r="D519" s="2" t="s">
        <v>37</v>
      </c>
      <c r="E519" s="2" t="s">
        <v>614</v>
      </c>
      <c r="F519" s="6" t="n">
        <f aca="false">COUNTIF(dados!$I$2:$I$1028,E519)</f>
        <v>4</v>
      </c>
      <c r="G519" s="10" t="n">
        <f aca="false">SUMIFS(dados!$M$2:$M$1028,dados!$I$2:$I$1028,E519)</f>
        <v>0.0240085231654124</v>
      </c>
      <c r="H519" s="7" t="n">
        <f aca="false">SQRT(G519*40000/PI())</f>
        <v>17.4838786042724</v>
      </c>
      <c r="I519" s="11" t="n">
        <f aca="false">_xlfn.MAXIFS(dados!$N$2:$N$1028,dados!$I$2:$I$1028,E519)</f>
        <v>10</v>
      </c>
      <c r="J519" s="3"/>
      <c r="K519" s="3"/>
    </row>
    <row r="520" customFormat="false" ht="15" hidden="false" customHeight="false" outlineLevel="0" collapsed="false">
      <c r="A520" s="2" t="s">
        <v>70</v>
      </c>
      <c r="B520" s="2" t="s">
        <v>564</v>
      </c>
      <c r="C520" s="2" t="n">
        <v>50</v>
      </c>
      <c r="D520" s="2" t="s">
        <v>71</v>
      </c>
      <c r="E520" s="2" t="s">
        <v>615</v>
      </c>
      <c r="F520" s="6" t="n">
        <f aca="false">COUNTIF(dados!$I$2:$I$1028,E520)</f>
        <v>1</v>
      </c>
      <c r="G520" s="10" t="n">
        <f aca="false">SUMIFS(dados!$M$2:$M$1028,dados!$I$2:$I$1028,E520)</f>
        <v>0.00318309886183791</v>
      </c>
      <c r="H520" s="7" t="n">
        <f aca="false">SQRT(G520*40000/PI())</f>
        <v>6.36619772367581</v>
      </c>
      <c r="I520" s="11" t="n">
        <f aca="false">_xlfn.MAXIFS(dados!$N$2:$N$1028,dados!$I$2:$I$1028,E520)</f>
        <v>5</v>
      </c>
      <c r="J520" s="3"/>
      <c r="K520" s="3"/>
    </row>
    <row r="521" customFormat="false" ht="15" hidden="false" customHeight="false" outlineLevel="0" collapsed="false">
      <c r="A521" s="2" t="s">
        <v>70</v>
      </c>
      <c r="B521" s="2" t="s">
        <v>564</v>
      </c>
      <c r="C521" s="2" t="n">
        <v>51</v>
      </c>
      <c r="D521" s="2" t="s">
        <v>37</v>
      </c>
      <c r="E521" s="2" t="s">
        <v>616</v>
      </c>
      <c r="F521" s="6" t="n">
        <f aca="false">COUNTIF(dados!$I$2:$I$1028,E521)</f>
        <v>1</v>
      </c>
      <c r="G521" s="10" t="n">
        <f aca="false">SUMIFS(dados!$M$2:$M$1028,dados!$I$2:$I$1028,E521)</f>
        <v>0.0121037334221386</v>
      </c>
      <c r="H521" s="7" t="n">
        <f aca="false">SQRT(G521*40000/PI())</f>
        <v>12.4140855611678</v>
      </c>
      <c r="I521" s="11" t="n">
        <f aca="false">_xlfn.MAXIFS(dados!$N$2:$N$1028,dados!$I$2:$I$1028,E521)</f>
        <v>10</v>
      </c>
      <c r="J521" s="3"/>
      <c r="K521" s="3"/>
    </row>
    <row r="522" customFormat="false" ht="15" hidden="false" customHeight="false" outlineLevel="0" collapsed="false">
      <c r="A522" s="2" t="s">
        <v>70</v>
      </c>
      <c r="B522" s="2" t="s">
        <v>564</v>
      </c>
      <c r="C522" s="2" t="n">
        <v>52</v>
      </c>
      <c r="D522" s="2" t="s">
        <v>37</v>
      </c>
      <c r="E522" s="2" t="s">
        <v>617</v>
      </c>
      <c r="F522" s="6" t="n">
        <f aca="false">COUNTIF(dados!$I$2:$I$1028,E522)</f>
        <v>1</v>
      </c>
      <c r="G522" s="10" t="n">
        <f aca="false">SUMIFS(dados!$M$2:$M$1028,dados!$I$2:$I$1028,E522)</f>
        <v>0.00580119767569958</v>
      </c>
      <c r="H522" s="7" t="n">
        <f aca="false">SQRT(G522*40000/PI())</f>
        <v>8.59436692696235</v>
      </c>
      <c r="I522" s="11" t="n">
        <f aca="false">_xlfn.MAXIFS(dados!$N$2:$N$1028,dados!$I$2:$I$1028,E522)</f>
        <v>11</v>
      </c>
      <c r="J522" s="3"/>
      <c r="K522" s="3"/>
    </row>
    <row r="523" customFormat="false" ht="15" hidden="false" customHeight="false" outlineLevel="0" collapsed="false">
      <c r="A523" s="2" t="s">
        <v>70</v>
      </c>
      <c r="B523" s="2" t="s">
        <v>564</v>
      </c>
      <c r="C523" s="2" t="n">
        <v>53</v>
      </c>
      <c r="D523" s="2" t="s">
        <v>37</v>
      </c>
      <c r="E523" s="2" t="s">
        <v>618</v>
      </c>
      <c r="F523" s="6" t="n">
        <f aca="false">COUNTIF(dados!$I$2:$I$1028,E523)</f>
        <v>3</v>
      </c>
      <c r="G523" s="10" t="n">
        <f aca="false">SUMIFS(dados!$M$2:$M$1028,dados!$I$2:$I$1028,E523)</f>
        <v>0.00883309934160019</v>
      </c>
      <c r="H523" s="7" t="n">
        <f aca="false">SQRT(G523*40000/PI())</f>
        <v>10.6050230477352</v>
      </c>
      <c r="I523" s="11" t="n">
        <f aca="false">_xlfn.MAXIFS(dados!$N$2:$N$1028,dados!$I$2:$I$1028,E523)</f>
        <v>8</v>
      </c>
      <c r="J523" s="3"/>
      <c r="K523" s="3"/>
    </row>
    <row r="524" customFormat="false" ht="15" hidden="false" customHeight="false" outlineLevel="0" collapsed="false">
      <c r="A524" s="2" t="s">
        <v>70</v>
      </c>
      <c r="B524" s="2" t="s">
        <v>564</v>
      </c>
      <c r="C524" s="2" t="n">
        <v>54</v>
      </c>
      <c r="D524" s="2" t="s">
        <v>37</v>
      </c>
      <c r="E524" s="2" t="s">
        <v>619</v>
      </c>
      <c r="F524" s="6" t="n">
        <f aca="false">COUNTIF(dados!$I$2:$I$1028,E524)</f>
        <v>1</v>
      </c>
      <c r="G524" s="10" t="n">
        <f aca="false">SUMIFS(dados!$M$2:$M$1028,dados!$I$2:$I$1028,E524)</f>
        <v>0.0062388737692023</v>
      </c>
      <c r="H524" s="7" t="n">
        <f aca="false">SQRT(G524*40000/PI())</f>
        <v>8.91267681314614</v>
      </c>
      <c r="I524" s="11" t="n">
        <f aca="false">_xlfn.MAXIFS(dados!$N$2:$N$1028,dados!$I$2:$I$1028,E524)</f>
        <v>8</v>
      </c>
      <c r="J524" s="3"/>
      <c r="K524" s="3"/>
    </row>
    <row r="525" customFormat="false" ht="15" hidden="false" customHeight="false" outlineLevel="0" collapsed="false">
      <c r="A525" s="2" t="s">
        <v>70</v>
      </c>
      <c r="B525" s="2" t="s">
        <v>564</v>
      </c>
      <c r="C525" s="2" t="n">
        <v>55</v>
      </c>
      <c r="D525" s="2" t="s">
        <v>37</v>
      </c>
      <c r="E525" s="2" t="s">
        <v>620</v>
      </c>
      <c r="F525" s="6" t="n">
        <f aca="false">COUNTIF(dados!$I$2:$I$1028,E525)</f>
        <v>5</v>
      </c>
      <c r="G525" s="10" t="n">
        <f aca="false">SUMIFS(dados!$M$2:$M$1028,dados!$I$2:$I$1028,E525)</f>
        <v>0.0171330296238425</v>
      </c>
      <c r="H525" s="7" t="n">
        <f aca="false">SQRT(G525*40000/PI())</f>
        <v>14.7697159208278</v>
      </c>
      <c r="I525" s="11" t="n">
        <f aca="false">_xlfn.MAXIFS(dados!$N$2:$N$1028,dados!$I$2:$I$1028,E525)</f>
        <v>15</v>
      </c>
      <c r="J525" s="3"/>
      <c r="K525" s="3"/>
    </row>
    <row r="526" customFormat="false" ht="15" hidden="false" customHeight="false" outlineLevel="0" collapsed="false">
      <c r="A526" s="2" t="s">
        <v>70</v>
      </c>
      <c r="B526" s="2" t="s">
        <v>564</v>
      </c>
      <c r="C526" s="2" t="n">
        <v>56</v>
      </c>
      <c r="D526" s="2" t="s">
        <v>37</v>
      </c>
      <c r="E526" s="2" t="s">
        <v>621</v>
      </c>
      <c r="F526" s="6" t="n">
        <f aca="false">COUNTIF(dados!$I$2:$I$1028,E526)</f>
        <v>3</v>
      </c>
      <c r="G526" s="10" t="n">
        <f aca="false">SUMIFS(dados!$M$2:$M$1028,dados!$I$2:$I$1028,E526)</f>
        <v>0.00741662034808232</v>
      </c>
      <c r="H526" s="7" t="n">
        <f aca="false">SQRT(G526*40000/PI())</f>
        <v>9.71757907889917</v>
      </c>
      <c r="I526" s="11" t="n">
        <f aca="false">_xlfn.MAXIFS(dados!$N$2:$N$1028,dados!$I$2:$I$1028,E526)</f>
        <v>9</v>
      </c>
      <c r="J526" s="3"/>
      <c r="K526" s="3"/>
    </row>
    <row r="527" customFormat="false" ht="15" hidden="false" customHeight="false" outlineLevel="0" collapsed="false">
      <c r="A527" s="2" t="s">
        <v>70</v>
      </c>
      <c r="B527" s="2" t="s">
        <v>622</v>
      </c>
      <c r="C527" s="2" t="n">
        <v>57</v>
      </c>
      <c r="D527" s="2" t="s">
        <v>37</v>
      </c>
      <c r="E527" s="2" t="s">
        <v>623</v>
      </c>
      <c r="F527" s="6" t="n">
        <f aca="false">COUNTIF(dados!$I$2:$I$1028,E527)</f>
        <v>1</v>
      </c>
      <c r="G527" s="10" t="n">
        <f aca="false">SUMIFS(dados!$M$2:$M$1028,dados!$I$2:$I$1028,E527)</f>
        <v>0.0484149336885546</v>
      </c>
      <c r="H527" s="7" t="n">
        <f aca="false">SQRT(G527*40000/PI())</f>
        <v>24.8281711223357</v>
      </c>
      <c r="I527" s="11" t="n">
        <f aca="false">_xlfn.MAXIFS(dados!$N$2:$N$1028,dados!$I$2:$I$1028,E527)</f>
        <v>12</v>
      </c>
      <c r="J527" s="3"/>
      <c r="K527" s="3"/>
    </row>
    <row r="528" customFormat="false" ht="15" hidden="false" customHeight="false" outlineLevel="0" collapsed="false">
      <c r="A528" s="2" t="s">
        <v>70</v>
      </c>
      <c r="B528" s="2" t="s">
        <v>622</v>
      </c>
      <c r="C528" s="2" t="n">
        <v>58</v>
      </c>
      <c r="D528" s="2" t="s">
        <v>37</v>
      </c>
      <c r="E528" s="2" t="s">
        <v>624</v>
      </c>
      <c r="F528" s="6" t="n">
        <f aca="false">COUNTIF(dados!$I$2:$I$1028,E528)</f>
        <v>8</v>
      </c>
      <c r="G528" s="10" t="n">
        <f aca="false">SUMIFS(dados!$M$2:$M$1028,dados!$I$2:$I$1028,E528)</f>
        <v>0.00744049358954611</v>
      </c>
      <c r="H528" s="7" t="n">
        <f aca="false">SQRT(G528*40000/PI())</f>
        <v>9.73320639386558</v>
      </c>
      <c r="I528" s="11" t="n">
        <f aca="false">_xlfn.MAXIFS(dados!$N$2:$N$1028,dados!$I$2:$I$1028,E528)</f>
        <v>6</v>
      </c>
      <c r="J528" s="3"/>
      <c r="K528" s="3"/>
    </row>
    <row r="529" customFormat="false" ht="15" hidden="false" customHeight="false" outlineLevel="0" collapsed="false">
      <c r="A529" s="2" t="s">
        <v>70</v>
      </c>
      <c r="B529" s="2" t="s">
        <v>622</v>
      </c>
      <c r="C529" s="2" t="n">
        <v>59</v>
      </c>
      <c r="D529" s="2" t="s">
        <v>71</v>
      </c>
      <c r="E529" s="2" t="s">
        <v>625</v>
      </c>
      <c r="F529" s="6" t="n">
        <f aca="false">COUNTIF(dados!$I$2:$I$1028,E529)</f>
        <v>1</v>
      </c>
      <c r="G529" s="10" t="n">
        <f aca="false">SUMIFS(dados!$M$2:$M$1028,dados!$I$2:$I$1028,E529)</f>
        <v>0.00385154962282387</v>
      </c>
      <c r="H529" s="7" t="n">
        <f aca="false">SQRT(G529*40000/PI())</f>
        <v>7.0028174960434</v>
      </c>
      <c r="I529" s="11" t="n">
        <f aca="false">_xlfn.MAXIFS(dados!$N$2:$N$1028,dados!$I$2:$I$1028,E529)</f>
        <v>5</v>
      </c>
      <c r="J529" s="3"/>
      <c r="K529" s="3"/>
    </row>
    <row r="530" customFormat="false" ht="15" hidden="false" customHeight="false" outlineLevel="0" collapsed="false">
      <c r="A530" s="2" t="s">
        <v>70</v>
      </c>
      <c r="B530" s="2" t="s">
        <v>622</v>
      </c>
      <c r="C530" s="2" t="n">
        <v>60</v>
      </c>
      <c r="D530" s="2" t="s">
        <v>37</v>
      </c>
      <c r="E530" s="2" t="s">
        <v>626</v>
      </c>
      <c r="F530" s="6" t="n">
        <f aca="false">COUNTIF(dados!$I$2:$I$1028,E530)</f>
        <v>2</v>
      </c>
      <c r="G530" s="10" t="n">
        <f aca="false">SUMIFS(dados!$M$2:$M$1028,dados!$I$2:$I$1028,E530)</f>
        <v>0.0101620431164175</v>
      </c>
      <c r="H530" s="7" t="n">
        <f aca="false">SQRT(G530*40000/PI())</f>
        <v>11.3748473181518</v>
      </c>
      <c r="I530" s="11" t="n">
        <f aca="false">_xlfn.MAXIFS(dados!$N$2:$N$1028,dados!$I$2:$I$1028,E530)</f>
        <v>9</v>
      </c>
      <c r="J530" s="3"/>
      <c r="K530" s="3"/>
    </row>
    <row r="531" customFormat="false" ht="15" hidden="false" customHeight="false" outlineLevel="0" collapsed="false">
      <c r="A531" s="2" t="s">
        <v>70</v>
      </c>
      <c r="B531" s="2" t="s">
        <v>622</v>
      </c>
      <c r="C531" s="2" t="n">
        <v>61</v>
      </c>
      <c r="D531" s="2" t="s">
        <v>37</v>
      </c>
      <c r="E531" s="2" t="s">
        <v>627</v>
      </c>
      <c r="F531" s="6" t="n">
        <f aca="false">COUNTIF(dados!$I$2:$I$1028,E531)</f>
        <v>3</v>
      </c>
      <c r="G531" s="10" t="n">
        <f aca="false">SUMIFS(dados!$M$2:$M$1028,dados!$I$2:$I$1028,E531)</f>
        <v>0.0390964117705241</v>
      </c>
      <c r="H531" s="7" t="n">
        <f aca="false">SQRT(G531*40000/PI())</f>
        <v>22.3112298010398</v>
      </c>
      <c r="I531" s="11" t="n">
        <f aca="false">_xlfn.MAXIFS(dados!$N$2:$N$1028,dados!$I$2:$I$1028,E531)</f>
        <v>10</v>
      </c>
      <c r="J531" s="3"/>
      <c r="K531" s="3"/>
    </row>
    <row r="532" customFormat="false" ht="15" hidden="false" customHeight="false" outlineLevel="0" collapsed="false">
      <c r="A532" s="2" t="s">
        <v>70</v>
      </c>
      <c r="B532" s="2" t="s">
        <v>622</v>
      </c>
      <c r="C532" s="2" t="n">
        <v>62</v>
      </c>
      <c r="D532" s="2" t="s">
        <v>37</v>
      </c>
      <c r="E532" s="2" t="s">
        <v>628</v>
      </c>
      <c r="F532" s="6" t="n">
        <f aca="false">COUNTIF(dados!$I$2:$I$1028,E532)</f>
        <v>1</v>
      </c>
      <c r="G532" s="10" t="n">
        <f aca="false">SUMIFS(dados!$M$2:$M$1028,dados!$I$2:$I$1028,E532)</f>
        <v>0.0147138744888457</v>
      </c>
      <c r="H532" s="7" t="n">
        <f aca="false">SQRT(G532*40000/PI())</f>
        <v>13.687325105903</v>
      </c>
      <c r="I532" s="11" t="n">
        <f aca="false">_xlfn.MAXIFS(dados!$N$2:$N$1028,dados!$I$2:$I$1028,E532)</f>
        <v>10</v>
      </c>
      <c r="J532" s="3"/>
      <c r="K532" s="3"/>
    </row>
    <row r="533" customFormat="false" ht="15" hidden="false" customHeight="false" outlineLevel="0" collapsed="false">
      <c r="A533" s="2" t="s">
        <v>70</v>
      </c>
      <c r="B533" s="2" t="s">
        <v>622</v>
      </c>
      <c r="C533" s="2" t="n">
        <v>63</v>
      </c>
      <c r="D533" s="2" t="s">
        <v>71</v>
      </c>
      <c r="E533" s="2" t="s">
        <v>629</v>
      </c>
      <c r="F533" s="6" t="n">
        <f aca="false">COUNTIF(dados!$I$2:$I$1028,E533)</f>
        <v>5</v>
      </c>
      <c r="G533" s="10" t="n">
        <f aca="false">SUMIFS(dados!$M$2:$M$1028,dados!$I$2:$I$1028,E533)</f>
        <v>0.020069438323888</v>
      </c>
      <c r="H533" s="7" t="n">
        <f aca="false">SQRT(G533*40000/PI())</f>
        <v>15.9853690963323</v>
      </c>
      <c r="I533" s="11" t="n">
        <f aca="false">_xlfn.MAXIFS(dados!$N$2:$N$1028,dados!$I$2:$I$1028,E533)</f>
        <v>6</v>
      </c>
      <c r="J533" s="3"/>
      <c r="K533" s="3"/>
    </row>
    <row r="534" customFormat="false" ht="15" hidden="false" customHeight="false" outlineLevel="0" collapsed="false">
      <c r="A534" s="2" t="s">
        <v>70</v>
      </c>
      <c r="B534" s="2" t="s">
        <v>622</v>
      </c>
      <c r="C534" s="2" t="n">
        <v>64</v>
      </c>
      <c r="D534" s="2" t="s">
        <v>45</v>
      </c>
      <c r="E534" s="2" t="s">
        <v>630</v>
      </c>
      <c r="F534" s="6" t="n">
        <f aca="false">COUNTIF(dados!$I$2:$I$1028,E534)</f>
        <v>2</v>
      </c>
      <c r="G534" s="10" t="n">
        <f aca="false">SUMIFS(dados!$M$2:$M$1028,dados!$I$2:$I$1028,E534)</f>
        <v>0.0252817627101476</v>
      </c>
      <c r="H534" s="7" t="n">
        <f aca="false">SQRT(G534*40000/PI())</f>
        <v>17.9414993919602</v>
      </c>
      <c r="I534" s="11" t="n">
        <f aca="false">_xlfn.MAXIFS(dados!$N$2:$N$1028,dados!$I$2:$I$1028,E534)</f>
        <v>11</v>
      </c>
      <c r="J534" s="3"/>
      <c r="K534" s="3"/>
    </row>
    <row r="535" customFormat="false" ht="15" hidden="false" customHeight="false" outlineLevel="0" collapsed="false">
      <c r="A535" s="2" t="s">
        <v>70</v>
      </c>
      <c r="B535" s="2" t="s">
        <v>622</v>
      </c>
      <c r="C535" s="2" t="n">
        <v>65</v>
      </c>
      <c r="D535" s="2" t="s">
        <v>45</v>
      </c>
      <c r="E535" s="2" t="s">
        <v>631</v>
      </c>
      <c r="F535" s="6" t="n">
        <f aca="false">COUNTIF(dados!$I$2:$I$1028,E535)</f>
        <v>1</v>
      </c>
      <c r="G535" s="10" t="n">
        <f aca="false">SUMIFS(dados!$M$2:$M$1028,dados!$I$2:$I$1028,E535)</f>
        <v>0.0161144379880544</v>
      </c>
      <c r="H535" s="7" t="n">
        <f aca="false">SQRT(G535*40000/PI())</f>
        <v>14.3239448782706</v>
      </c>
      <c r="I535" s="11" t="n">
        <f aca="false">_xlfn.MAXIFS(dados!$N$2:$N$1028,dados!$I$2:$I$1028,E535)</f>
        <v>7</v>
      </c>
      <c r="J535" s="3"/>
      <c r="K535" s="3"/>
    </row>
    <row r="536" customFormat="false" ht="15" hidden="false" customHeight="false" outlineLevel="0" collapsed="false">
      <c r="A536" s="2" t="s">
        <v>70</v>
      </c>
      <c r="B536" s="2" t="s">
        <v>622</v>
      </c>
      <c r="C536" s="2" t="n">
        <v>66</v>
      </c>
      <c r="D536" s="2" t="s">
        <v>45</v>
      </c>
      <c r="E536" s="2" t="s">
        <v>632</v>
      </c>
      <c r="F536" s="6" t="n">
        <f aca="false">COUNTIF(dados!$I$2:$I$1028,E536)</f>
        <v>1</v>
      </c>
      <c r="G536" s="10" t="n">
        <f aca="false">SUMIFS(dados!$M$2:$M$1028,dados!$I$2:$I$1028,E536)</f>
        <v>0.0114909868912348</v>
      </c>
      <c r="H536" s="7" t="n">
        <f aca="false">SQRT(G536*40000/PI())</f>
        <v>12.095775674984</v>
      </c>
      <c r="I536" s="11" t="n">
        <f aca="false">_xlfn.MAXIFS(dados!$N$2:$N$1028,dados!$I$2:$I$1028,E536)</f>
        <v>7</v>
      </c>
      <c r="J536" s="3"/>
      <c r="K536" s="3"/>
    </row>
    <row r="537" customFormat="false" ht="15" hidden="false" customHeight="false" outlineLevel="0" collapsed="false">
      <c r="A537" s="2" t="s">
        <v>70</v>
      </c>
      <c r="B537" s="2" t="s">
        <v>622</v>
      </c>
      <c r="C537" s="2" t="n">
        <v>67</v>
      </c>
      <c r="D537" s="2" t="s">
        <v>60</v>
      </c>
      <c r="E537" s="2" t="s">
        <v>633</v>
      </c>
      <c r="F537" s="6" t="n">
        <f aca="false">COUNTIF(dados!$I$2:$I$1028,E537)</f>
        <v>9</v>
      </c>
      <c r="G537" s="10" t="n">
        <f aca="false">SUMIFS(dados!$M$2:$M$1028,dados!$I$2:$I$1028,E537)</f>
        <v>0.00921507120502074</v>
      </c>
      <c r="H537" s="7" t="n">
        <f aca="false">SQRT(G537*40000/PI())</f>
        <v>10.831894139892</v>
      </c>
      <c r="I537" s="11" t="n">
        <f aca="false">_xlfn.MAXIFS(dados!$N$2:$N$1028,dados!$I$2:$I$1028,E537)</f>
        <v>5</v>
      </c>
      <c r="J537" s="3"/>
      <c r="K537" s="3"/>
    </row>
    <row r="538" customFormat="false" ht="15" hidden="false" customHeight="false" outlineLevel="0" collapsed="false">
      <c r="A538" s="2" t="s">
        <v>70</v>
      </c>
      <c r="B538" s="2" t="s">
        <v>622</v>
      </c>
      <c r="C538" s="2" t="n">
        <v>68</v>
      </c>
      <c r="D538" s="2" t="s">
        <v>37</v>
      </c>
      <c r="E538" s="2" t="s">
        <v>634</v>
      </c>
      <c r="F538" s="6" t="n">
        <f aca="false">COUNTIF(dados!$I$2:$I$1028,E538)</f>
        <v>3</v>
      </c>
      <c r="G538" s="10" t="n">
        <f aca="false">SUMIFS(dados!$M$2:$M$1028,dados!$I$2:$I$1028,E538)</f>
        <v>0.0059285216301731</v>
      </c>
      <c r="H538" s="7" t="n">
        <f aca="false">SQRT(G538*40000/PI())</f>
        <v>8.68816907141785</v>
      </c>
      <c r="I538" s="11" t="n">
        <f aca="false">_xlfn.MAXIFS(dados!$N$2:$N$1028,dados!$I$2:$I$1028,E538)</f>
        <v>7</v>
      </c>
      <c r="J538" s="3"/>
      <c r="K538" s="3"/>
    </row>
    <row r="539" customFormat="false" ht="15" hidden="false" customHeight="false" outlineLevel="0" collapsed="false">
      <c r="A539" s="2" t="s">
        <v>70</v>
      </c>
      <c r="B539" s="2" t="s">
        <v>622</v>
      </c>
      <c r="C539" s="2" t="n">
        <v>69</v>
      </c>
      <c r="D539" s="2" t="s">
        <v>37</v>
      </c>
      <c r="E539" s="2" t="s">
        <v>635</v>
      </c>
      <c r="F539" s="6" t="n">
        <f aca="false">COUNTIF(dados!$I$2:$I$1028,E539)</f>
        <v>6</v>
      </c>
      <c r="G539" s="10" t="n">
        <f aca="false">SUMIFS(dados!$M$2:$M$1028,dados!$I$2:$I$1028,E539)</f>
        <v>0.0251166394566897</v>
      </c>
      <c r="H539" s="7" t="n">
        <f aca="false">SQRT(G539*40000/PI())</f>
        <v>17.8828125827882</v>
      </c>
      <c r="I539" s="11" t="n">
        <f aca="false">_xlfn.MAXIFS(dados!$N$2:$N$1028,dados!$I$2:$I$1028,E539)</f>
        <v>11</v>
      </c>
      <c r="J539" s="3"/>
      <c r="K539" s="3"/>
    </row>
    <row r="540" customFormat="false" ht="15" hidden="false" customHeight="false" outlineLevel="0" collapsed="false">
      <c r="A540" s="2" t="s">
        <v>70</v>
      </c>
      <c r="B540" s="2" t="s">
        <v>622</v>
      </c>
      <c r="C540" s="2" t="n">
        <v>70</v>
      </c>
      <c r="D540" s="2" t="s">
        <v>37</v>
      </c>
      <c r="E540" s="2" t="s">
        <v>636</v>
      </c>
      <c r="F540" s="6" t="n">
        <f aca="false">COUNTIF(dados!$I$2:$I$1028,E540)</f>
        <v>3</v>
      </c>
      <c r="G540" s="10" t="n">
        <f aca="false">SUMIFS(dados!$M$2:$M$1028,dados!$I$2:$I$1028,E540)</f>
        <v>0.0331758478875056</v>
      </c>
      <c r="H540" s="7" t="n">
        <f aca="false">SQRT(G540*40000/PI())</f>
        <v>20.5525671049849</v>
      </c>
      <c r="I540" s="11" t="n">
        <f aca="false">_xlfn.MAXIFS(dados!$N$2:$N$1028,dados!$I$2:$I$1028,E540)</f>
        <v>13</v>
      </c>
      <c r="J540" s="3"/>
      <c r="K540" s="3"/>
    </row>
    <row r="541" customFormat="false" ht="15" hidden="false" customHeight="false" outlineLevel="0" collapsed="false">
      <c r="A541" s="2" t="s">
        <v>70</v>
      </c>
      <c r="B541" s="2" t="s">
        <v>622</v>
      </c>
      <c r="C541" s="2" t="n">
        <v>71</v>
      </c>
      <c r="D541" s="2" t="s">
        <v>71</v>
      </c>
      <c r="E541" s="2" t="s">
        <v>637</v>
      </c>
      <c r="F541" s="6" t="n">
        <f aca="false">COUNTIF(dados!$I$2:$I$1028,E541)</f>
        <v>3</v>
      </c>
      <c r="G541" s="10" t="n">
        <f aca="false">SUMIFS(dados!$M$2:$M$1028,dados!$I$2:$I$1028,E541)</f>
        <v>0.00615133855050176</v>
      </c>
      <c r="H541" s="7" t="n">
        <f aca="false">SQRT(G541*40000/PI())</f>
        <v>8.84993078817722</v>
      </c>
      <c r="I541" s="11" t="n">
        <f aca="false">_xlfn.MAXIFS(dados!$N$2:$N$1028,dados!$I$2:$I$1028,E541)</f>
        <v>7</v>
      </c>
      <c r="J541" s="3"/>
      <c r="K541" s="3"/>
    </row>
    <row r="542" customFormat="false" ht="15" hidden="false" customHeight="false" outlineLevel="0" collapsed="false">
      <c r="A542" s="2" t="s">
        <v>70</v>
      </c>
      <c r="B542" s="2" t="s">
        <v>622</v>
      </c>
      <c r="C542" s="2" t="n">
        <v>72</v>
      </c>
      <c r="D542" s="2" t="s">
        <v>37</v>
      </c>
      <c r="E542" s="2" t="s">
        <v>638</v>
      </c>
      <c r="F542" s="6" t="n">
        <f aca="false">COUNTIF(dados!$I$2:$I$1028,E542)</f>
        <v>2</v>
      </c>
      <c r="G542" s="10" t="n">
        <f aca="false">SUMIFS(dados!$M$2:$M$1028,dados!$I$2:$I$1028,E542)</f>
        <v>0.00198943678864869</v>
      </c>
      <c r="H542" s="7" t="n">
        <f aca="false">SQRT(G542*40000/PI())</f>
        <v>5.0329212104487</v>
      </c>
      <c r="I542" s="11" t="n">
        <f aca="false">_xlfn.MAXIFS(dados!$N$2:$N$1028,dados!$I$2:$I$1028,E542)</f>
        <v>4</v>
      </c>
      <c r="J542" s="3"/>
      <c r="K542" s="3"/>
    </row>
    <row r="543" customFormat="false" ht="15" hidden="false" customHeight="false" outlineLevel="0" collapsed="false">
      <c r="A543" s="2" t="s">
        <v>70</v>
      </c>
      <c r="B543" s="2" t="s">
        <v>622</v>
      </c>
      <c r="C543" s="2" t="n">
        <v>73</v>
      </c>
      <c r="D543" s="2" t="s">
        <v>37</v>
      </c>
      <c r="E543" s="2" t="s">
        <v>639</v>
      </c>
      <c r="F543" s="6" t="n">
        <f aca="false">COUNTIF(dados!$I$2:$I$1028,E543)</f>
        <v>2</v>
      </c>
      <c r="G543" s="10" t="n">
        <f aca="false">SUMIFS(dados!$M$2:$M$1028,dados!$I$2:$I$1028,E543)</f>
        <v>0.00574549344561742</v>
      </c>
      <c r="H543" s="7" t="n">
        <f aca="false">SQRT(G543*40000/PI())</f>
        <v>8.55300500349251</v>
      </c>
      <c r="I543" s="11" t="n">
        <f aca="false">_xlfn.MAXIFS(dados!$N$2:$N$1028,dados!$I$2:$I$1028,E543)</f>
        <v>5</v>
      </c>
      <c r="J543" s="3"/>
      <c r="K543" s="3"/>
    </row>
    <row r="544" customFormat="false" ht="15" hidden="false" customHeight="false" outlineLevel="0" collapsed="false">
      <c r="A544" s="2" t="s">
        <v>70</v>
      </c>
      <c r="B544" s="2" t="s">
        <v>622</v>
      </c>
      <c r="C544" s="2" t="n">
        <v>74</v>
      </c>
      <c r="D544" s="2" t="s">
        <v>37</v>
      </c>
      <c r="E544" s="2" t="s">
        <v>640</v>
      </c>
      <c r="F544" s="6" t="n">
        <f aca="false">COUNTIF(dados!$I$2:$I$1028,E544)</f>
        <v>7</v>
      </c>
      <c r="G544" s="10" t="n">
        <f aca="false">SUMIFS(dados!$M$2:$M$1028,dados!$I$2:$I$1028,E544)</f>
        <v>0.0162835401150895</v>
      </c>
      <c r="H544" s="7" t="n">
        <f aca="false">SQRT(G544*40000/PI())</f>
        <v>14.3989052371399</v>
      </c>
      <c r="I544" s="11" t="n">
        <f aca="false">_xlfn.MAXIFS(dados!$N$2:$N$1028,dados!$I$2:$I$1028,E544)</f>
        <v>6</v>
      </c>
      <c r="J544" s="3"/>
      <c r="K544" s="3"/>
    </row>
    <row r="545" customFormat="false" ht="15" hidden="false" customHeight="false" outlineLevel="0" collapsed="false">
      <c r="A545" s="2" t="s">
        <v>70</v>
      </c>
      <c r="B545" s="2" t="s">
        <v>622</v>
      </c>
      <c r="C545" s="2" t="n">
        <v>75</v>
      </c>
      <c r="D545" s="2" t="s">
        <v>74</v>
      </c>
      <c r="E545" s="2" t="s">
        <v>641</v>
      </c>
      <c r="F545" s="6" t="n">
        <f aca="false">COUNTIF(dados!$I$2:$I$1028,E545)</f>
        <v>1</v>
      </c>
      <c r="G545" s="10" t="n">
        <f aca="false">SUMIFS(dados!$M$2:$M$1028,dados!$I$2:$I$1028,E545)</f>
        <v>0.00155971844230057</v>
      </c>
      <c r="H545" s="7" t="n">
        <f aca="false">SQRT(G545*40000/PI())</f>
        <v>4.45633840657307</v>
      </c>
      <c r="I545" s="11" t="n">
        <f aca="false">_xlfn.MAXIFS(dados!$N$2:$N$1028,dados!$I$2:$I$1028,E545)</f>
        <v>5</v>
      </c>
      <c r="J545" s="3"/>
      <c r="K545" s="3"/>
    </row>
    <row r="546" customFormat="false" ht="15" hidden="false" customHeight="false" outlineLevel="0" collapsed="false">
      <c r="A546" s="2" t="s">
        <v>70</v>
      </c>
      <c r="B546" s="2" t="s">
        <v>642</v>
      </c>
      <c r="C546" s="2" t="n">
        <v>76</v>
      </c>
      <c r="D546" s="2" t="s">
        <v>71</v>
      </c>
      <c r="E546" s="2" t="s">
        <v>643</v>
      </c>
      <c r="F546" s="6" t="n">
        <f aca="false">COUNTIF(dados!$I$2:$I$1028,E546)</f>
        <v>1</v>
      </c>
      <c r="G546" s="10" t="n">
        <f aca="false">SUMIFS(dados!$M$2:$M$1028,dados!$I$2:$I$1028,E546)</f>
        <v>0.00420964824478063</v>
      </c>
      <c r="H546" s="7" t="n">
        <f aca="false">SQRT(G546*40000/PI())</f>
        <v>7.32112738222719</v>
      </c>
      <c r="I546" s="11" t="n">
        <f aca="false">_xlfn.MAXIFS(dados!$N$2:$N$1028,dados!$I$2:$I$1028,E546)</f>
        <v>6</v>
      </c>
      <c r="J546" s="3"/>
      <c r="K546" s="3"/>
    </row>
    <row r="547" customFormat="false" ht="15" hidden="false" customHeight="false" outlineLevel="0" collapsed="false">
      <c r="A547" s="2" t="s">
        <v>70</v>
      </c>
      <c r="B547" s="2" t="s">
        <v>642</v>
      </c>
      <c r="C547" s="2" t="n">
        <v>77</v>
      </c>
      <c r="D547" s="2" t="s">
        <v>75</v>
      </c>
      <c r="E547" s="2" t="s">
        <v>644</v>
      </c>
      <c r="F547" s="6" t="n">
        <f aca="false">COUNTIF(dados!$I$2:$I$1028,E547)</f>
        <v>7</v>
      </c>
      <c r="G547" s="10" t="n">
        <f aca="false">SUMIFS(dados!$M$2:$M$1028,dados!$I$2:$I$1028,E547)</f>
        <v>0.00888084582452776</v>
      </c>
      <c r="H547" s="7" t="n">
        <f aca="false">SQRT(G547*40000/PI())</f>
        <v>10.6336466437835</v>
      </c>
      <c r="I547" s="11" t="n">
        <f aca="false">_xlfn.MAXIFS(dados!$N$2:$N$1028,dados!$I$2:$I$1028,E547)</f>
        <v>5</v>
      </c>
      <c r="J547" s="3"/>
      <c r="K547" s="3"/>
    </row>
    <row r="548" customFormat="false" ht="15" hidden="false" customHeight="false" outlineLevel="0" collapsed="false">
      <c r="A548" s="2" t="s">
        <v>70</v>
      </c>
      <c r="B548" s="2" t="s">
        <v>642</v>
      </c>
      <c r="C548" s="2" t="n">
        <v>78</v>
      </c>
      <c r="D548" s="2" t="s">
        <v>76</v>
      </c>
      <c r="E548" s="2" t="s">
        <v>645</v>
      </c>
      <c r="F548" s="6" t="n">
        <f aca="false">COUNTIF(dados!$I$2:$I$1028,E548)</f>
        <v>1</v>
      </c>
      <c r="G548" s="10" t="n">
        <f aca="false">SUMIFS(dados!$M$2:$M$1028,dados!$I$2:$I$1028,E548)</f>
        <v>0.00716197243913529</v>
      </c>
      <c r="H548" s="7" t="n">
        <f aca="false">SQRT(G548*40000/PI())</f>
        <v>9.54929658551372</v>
      </c>
      <c r="I548" s="11" t="n">
        <f aca="false">_xlfn.MAXIFS(dados!$N$2:$N$1028,dados!$I$2:$I$1028,E548)</f>
        <v>4</v>
      </c>
      <c r="J548" s="3"/>
      <c r="K548" s="3"/>
    </row>
    <row r="549" customFormat="false" ht="15" hidden="false" customHeight="false" outlineLevel="0" collapsed="false">
      <c r="A549" s="2" t="s">
        <v>70</v>
      </c>
      <c r="B549" s="2" t="s">
        <v>642</v>
      </c>
      <c r="C549" s="2" t="n">
        <v>79</v>
      </c>
      <c r="D549" s="2" t="s">
        <v>76</v>
      </c>
      <c r="E549" s="2" t="s">
        <v>646</v>
      </c>
      <c r="F549" s="6" t="n">
        <f aca="false">COUNTIF(dados!$I$2:$I$1028,E549)</f>
        <v>1</v>
      </c>
      <c r="G549" s="10" t="n">
        <f aca="false">SUMIFS(dados!$M$2:$M$1028,dados!$I$2:$I$1028,E549)</f>
        <v>0.0161144379880544</v>
      </c>
      <c r="H549" s="7" t="n">
        <f aca="false">SQRT(G549*40000/PI())</f>
        <v>14.3239448782706</v>
      </c>
      <c r="I549" s="11" t="n">
        <f aca="false">_xlfn.MAXIFS(dados!$N$2:$N$1028,dados!$I$2:$I$1028,E549)</f>
        <v>10</v>
      </c>
      <c r="J549" s="3"/>
      <c r="K549" s="3"/>
    </row>
    <row r="550" customFormat="false" ht="15" hidden="false" customHeight="false" outlineLevel="0" collapsed="false">
      <c r="A550" s="2" t="s">
        <v>70</v>
      </c>
      <c r="B550" s="2" t="s">
        <v>642</v>
      </c>
      <c r="C550" s="2" t="n">
        <v>80</v>
      </c>
      <c r="D550" s="2" t="s">
        <v>74</v>
      </c>
      <c r="E550" s="2" t="s">
        <v>647</v>
      </c>
      <c r="F550" s="6" t="n">
        <f aca="false">COUNTIF(dados!$I$2:$I$1028,E550)</f>
        <v>1</v>
      </c>
      <c r="G550" s="10" t="n">
        <f aca="false">SUMIFS(dados!$M$2:$M$1028,dados!$I$2:$I$1028,E550)</f>
        <v>0.00385154962282387</v>
      </c>
      <c r="H550" s="7" t="n">
        <f aca="false">SQRT(G550*40000/PI())</f>
        <v>7.0028174960434</v>
      </c>
      <c r="I550" s="11" t="n">
        <f aca="false">_xlfn.MAXIFS(dados!$N$2:$N$1028,dados!$I$2:$I$1028,E550)</f>
        <v>2</v>
      </c>
      <c r="J550" s="3"/>
      <c r="K550" s="3"/>
    </row>
    <row r="551" customFormat="false" ht="15" hidden="false" customHeight="false" outlineLevel="0" collapsed="false">
      <c r="A551" s="2" t="s">
        <v>70</v>
      </c>
      <c r="B551" s="2" t="s">
        <v>642</v>
      </c>
      <c r="C551" s="2" t="n">
        <v>81</v>
      </c>
      <c r="D551" s="2" t="s">
        <v>60</v>
      </c>
      <c r="E551" s="2" t="s">
        <v>648</v>
      </c>
      <c r="F551" s="6" t="n">
        <f aca="false">COUNTIF(dados!$I$2:$I$1028,E551)</f>
        <v>1</v>
      </c>
      <c r="G551" s="10" t="n">
        <f aca="false">SUMIFS(dados!$M$2:$M$1028,dados!$I$2:$I$1028,E551)</f>
        <v>0.019106550918182</v>
      </c>
      <c r="H551" s="7" t="n">
        <f aca="false">SQRT(G551*40000/PI())</f>
        <v>15.5971844230057</v>
      </c>
      <c r="I551" s="11" t="n">
        <f aca="false">_xlfn.MAXIFS(dados!$N$2:$N$1028,dados!$I$2:$I$1028,E551)</f>
        <v>10</v>
      </c>
      <c r="J551" s="3"/>
      <c r="K551" s="3"/>
    </row>
    <row r="552" customFormat="false" ht="15" hidden="false" customHeight="false" outlineLevel="0" collapsed="false">
      <c r="A552" s="2" t="s">
        <v>70</v>
      </c>
      <c r="B552" s="2" t="s">
        <v>642</v>
      </c>
      <c r="C552" s="2" t="n">
        <v>82</v>
      </c>
      <c r="D552" s="2" t="s">
        <v>75</v>
      </c>
      <c r="E552" s="2" t="s">
        <v>649</v>
      </c>
      <c r="F552" s="6" t="n">
        <f aca="false">COUNTIF(dados!$I$2:$I$1028,E552)</f>
        <v>2</v>
      </c>
      <c r="G552" s="10" t="n">
        <f aca="false">SUMIFS(dados!$M$2:$M$1028,dados!$I$2:$I$1028,E552)</f>
        <v>0.0183505649384955</v>
      </c>
      <c r="H552" s="7" t="n">
        <f aca="false">SQRT(G552*40000/PI())</f>
        <v>15.2855045542903</v>
      </c>
      <c r="I552" s="11" t="n">
        <f aca="false">_xlfn.MAXIFS(dados!$N$2:$N$1028,dados!$I$2:$I$1028,E552)</f>
        <v>6</v>
      </c>
      <c r="J552" s="3"/>
      <c r="K552" s="3"/>
    </row>
    <row r="553" customFormat="false" ht="15" hidden="false" customHeight="false" outlineLevel="0" collapsed="false">
      <c r="A553" s="2" t="s">
        <v>70</v>
      </c>
      <c r="B553" s="2" t="s">
        <v>642</v>
      </c>
      <c r="C553" s="2" t="n">
        <v>83</v>
      </c>
      <c r="D553" s="2" t="s">
        <v>75</v>
      </c>
      <c r="E553" s="2" t="s">
        <v>650</v>
      </c>
      <c r="F553" s="6" t="n">
        <f aca="false">COUNTIF(dados!$I$2:$I$1028,E553)</f>
        <v>1</v>
      </c>
      <c r="G553" s="10" t="n">
        <f aca="false">SUMIFS(dados!$M$2:$M$1028,dados!$I$2:$I$1028,E553)</f>
        <v>0.00287274672280871</v>
      </c>
      <c r="H553" s="7" t="n">
        <f aca="false">SQRT(G553*40000/PI())</f>
        <v>6.04788783749202</v>
      </c>
      <c r="I553" s="11" t="n">
        <f aca="false">_xlfn.MAXIFS(dados!$N$2:$N$1028,dados!$I$2:$I$1028,E553)</f>
        <v>5</v>
      </c>
      <c r="J553" s="3"/>
      <c r="K553" s="3"/>
    </row>
    <row r="554" customFormat="false" ht="15" hidden="false" customHeight="false" outlineLevel="0" collapsed="false">
      <c r="A554" s="2" t="s">
        <v>70</v>
      </c>
      <c r="B554" s="2" t="s">
        <v>642</v>
      </c>
      <c r="C554" s="2" t="n">
        <v>84</v>
      </c>
      <c r="D554" s="2" t="s">
        <v>71</v>
      </c>
      <c r="E554" s="2" t="s">
        <v>651</v>
      </c>
      <c r="F554" s="6" t="n">
        <f aca="false">COUNTIF(dados!$I$2:$I$1028,E554)</f>
        <v>1</v>
      </c>
      <c r="G554" s="10" t="n">
        <f aca="false">SUMIFS(dados!$M$2:$M$1028,dados!$I$2:$I$1028,E554)</f>
        <v>0.00497359197162173</v>
      </c>
      <c r="H554" s="7" t="n">
        <f aca="false">SQRT(G554*40000/PI())</f>
        <v>7.95774715459477</v>
      </c>
      <c r="I554" s="11" t="n">
        <f aca="false">_xlfn.MAXIFS(dados!$N$2:$N$1028,dados!$I$2:$I$1028,E554)</f>
        <v>6</v>
      </c>
      <c r="J554" s="3"/>
      <c r="K554" s="3"/>
    </row>
    <row r="555" customFormat="false" ht="15" hidden="false" customHeight="false" outlineLevel="0" collapsed="false">
      <c r="A555" s="2" t="s">
        <v>70</v>
      </c>
      <c r="B555" s="2" t="s">
        <v>642</v>
      </c>
      <c r="C555" s="2" t="n">
        <v>85</v>
      </c>
      <c r="D555" s="2" t="s">
        <v>71</v>
      </c>
      <c r="E555" s="2" t="s">
        <v>652</v>
      </c>
      <c r="F555" s="6" t="n">
        <f aca="false">COUNTIF(dados!$I$2:$I$1028,E555)</f>
        <v>2</v>
      </c>
      <c r="G555" s="10" t="n">
        <f aca="false">SUMIFS(dados!$M$2:$M$1028,dados!$I$2:$I$1028,E555)</f>
        <v>0.00485422576430281</v>
      </c>
      <c r="H555" s="7" t="n">
        <f aca="false">SQRT(G555*40000/PI())</f>
        <v>7.86167425055414</v>
      </c>
      <c r="I555" s="11" t="n">
        <f aca="false">_xlfn.MAXIFS(dados!$N$2:$N$1028,dados!$I$2:$I$1028,E555)</f>
        <v>7</v>
      </c>
      <c r="J555" s="3"/>
      <c r="K555" s="3"/>
    </row>
    <row r="556" customFormat="false" ht="15" hidden="false" customHeight="false" outlineLevel="0" collapsed="false">
      <c r="A556" s="2" t="s">
        <v>70</v>
      </c>
      <c r="B556" s="2" t="s">
        <v>642</v>
      </c>
      <c r="C556" s="2" t="n">
        <v>86</v>
      </c>
      <c r="D556" s="2" t="s">
        <v>37</v>
      </c>
      <c r="E556" s="2" t="s">
        <v>653</v>
      </c>
      <c r="F556" s="6" t="n">
        <f aca="false">COUNTIF(dados!$I$2:$I$1028,E556)</f>
        <v>1</v>
      </c>
      <c r="G556" s="10" t="n">
        <f aca="false">SUMIFS(dados!$M$2:$M$1028,dados!$I$2:$I$1028,E556)</f>
        <v>0.00203718327157626</v>
      </c>
      <c r="H556" s="7" t="n">
        <f aca="false">SQRT(G556*40000/PI())</f>
        <v>5.09295817894065</v>
      </c>
      <c r="I556" s="11" t="n">
        <f aca="false">_xlfn.MAXIFS(dados!$N$2:$N$1028,dados!$I$2:$I$1028,E556)</f>
        <v>5</v>
      </c>
      <c r="J556" s="3"/>
      <c r="K556" s="3"/>
    </row>
    <row r="557" customFormat="false" ht="15" hidden="false" customHeight="false" outlineLevel="0" collapsed="false">
      <c r="A557" s="2" t="s">
        <v>70</v>
      </c>
      <c r="B557" s="2" t="s">
        <v>642</v>
      </c>
      <c r="C557" s="2" t="n">
        <v>87</v>
      </c>
      <c r="D557" s="2" t="s">
        <v>71</v>
      </c>
      <c r="E557" s="2" t="s">
        <v>654</v>
      </c>
      <c r="F557" s="6" t="n">
        <f aca="false">COUNTIF(dados!$I$2:$I$1028,E557)</f>
        <v>1</v>
      </c>
      <c r="G557" s="10" t="n">
        <f aca="false">SUMIFS(dados!$M$2:$M$1028,dados!$I$2:$I$1028,E557)</f>
        <v>0.00350936649517629</v>
      </c>
      <c r="H557" s="7" t="n">
        <f aca="false">SQRT(G557*40000/PI())</f>
        <v>6.68450760985961</v>
      </c>
      <c r="I557" s="11" t="n">
        <f aca="false">_xlfn.MAXIFS(dados!$N$2:$N$1028,dados!$I$2:$I$1028,E557)</f>
        <v>2</v>
      </c>
      <c r="J557" s="3"/>
      <c r="K557" s="3"/>
    </row>
    <row r="558" customFormat="false" ht="15" hidden="false" customHeight="false" outlineLevel="0" collapsed="false">
      <c r="A558" s="2" t="s">
        <v>70</v>
      </c>
      <c r="B558" s="2" t="s">
        <v>642</v>
      </c>
      <c r="C558" s="2" t="n">
        <v>88</v>
      </c>
      <c r="D558" s="2" t="s">
        <v>37</v>
      </c>
      <c r="E558" s="2" t="s">
        <v>655</v>
      </c>
      <c r="F558" s="6" t="n">
        <f aca="false">COUNTIF(dados!$I$2:$I$1028,E558)</f>
        <v>1</v>
      </c>
      <c r="G558" s="10" t="n">
        <f aca="false">SUMIFS(dados!$M$2:$M$1028,dados!$I$2:$I$1028,E558)</f>
        <v>0.00420964824478063</v>
      </c>
      <c r="H558" s="7" t="n">
        <f aca="false">SQRT(G558*40000/PI())</f>
        <v>7.32112738222719</v>
      </c>
      <c r="I558" s="11" t="n">
        <f aca="false">_xlfn.MAXIFS(dados!$N$2:$N$1028,dados!$I$2:$I$1028,E558)</f>
        <v>9</v>
      </c>
      <c r="J558" s="3"/>
      <c r="K558" s="3"/>
    </row>
    <row r="559" customFormat="false" ht="15" hidden="false" customHeight="false" outlineLevel="0" collapsed="false">
      <c r="A559" s="2" t="s">
        <v>70</v>
      </c>
      <c r="B559" s="2" t="s">
        <v>642</v>
      </c>
      <c r="C559" s="2" t="n">
        <v>89</v>
      </c>
      <c r="D559" s="2" t="s">
        <v>37</v>
      </c>
      <c r="E559" s="2" t="s">
        <v>656</v>
      </c>
      <c r="F559" s="6" t="n">
        <f aca="false">COUNTIF(dados!$I$2:$I$1028,E559)</f>
        <v>1</v>
      </c>
      <c r="G559" s="10" t="n">
        <f aca="false">SUMIFS(dados!$M$2:$M$1028,dados!$I$2:$I$1028,E559)</f>
        <v>0.00580119767569958</v>
      </c>
      <c r="H559" s="7" t="n">
        <f aca="false">SQRT(G559*40000/PI())</f>
        <v>8.59436692696235</v>
      </c>
      <c r="I559" s="11" t="n">
        <f aca="false">_xlfn.MAXIFS(dados!$N$2:$N$1028,dados!$I$2:$I$1028,E559)</f>
        <v>6</v>
      </c>
      <c r="J559" s="3"/>
      <c r="K559" s="3"/>
    </row>
    <row r="560" customFormat="false" ht="15" hidden="false" customHeight="false" outlineLevel="0" collapsed="false">
      <c r="A560" s="2" t="s">
        <v>70</v>
      </c>
      <c r="B560" s="2" t="s">
        <v>642</v>
      </c>
      <c r="C560" s="2" t="n">
        <v>90</v>
      </c>
      <c r="D560" s="2" t="s">
        <v>71</v>
      </c>
      <c r="E560" s="2" t="s">
        <v>657</v>
      </c>
      <c r="F560" s="6" t="n">
        <f aca="false">COUNTIF(dados!$I$2:$I$1028,E560)</f>
        <v>1</v>
      </c>
      <c r="G560" s="10" t="n">
        <f aca="false">SUMIFS(dados!$M$2:$M$1028,dados!$I$2:$I$1028,E560)</f>
        <v>0.00420964824478063</v>
      </c>
      <c r="H560" s="7" t="n">
        <f aca="false">SQRT(G560*40000/PI())</f>
        <v>7.32112738222719</v>
      </c>
      <c r="I560" s="11" t="n">
        <f aca="false">_xlfn.MAXIFS(dados!$N$2:$N$1028,dados!$I$2:$I$1028,E560)</f>
        <v>6</v>
      </c>
      <c r="J560" s="3"/>
      <c r="K560" s="3"/>
    </row>
    <row r="561" customFormat="false" ht="15" hidden="false" customHeight="false" outlineLevel="0" collapsed="false">
      <c r="A561" s="2" t="s">
        <v>70</v>
      </c>
      <c r="B561" s="2" t="s">
        <v>642</v>
      </c>
      <c r="C561" s="2" t="n">
        <v>91</v>
      </c>
      <c r="D561" s="2" t="s">
        <v>71</v>
      </c>
      <c r="E561" s="2" t="s">
        <v>658</v>
      </c>
      <c r="F561" s="6" t="n">
        <f aca="false">COUNTIF(dados!$I$2:$I$1028,E561)</f>
        <v>1</v>
      </c>
      <c r="G561" s="10" t="n">
        <f aca="false">SUMIFS(dados!$M$2:$M$1028,dados!$I$2:$I$1028,E561)</f>
        <v>0.00919915571071155</v>
      </c>
      <c r="H561" s="7" t="n">
        <f aca="false">SQRT(G561*40000/PI())</f>
        <v>10.8225361302489</v>
      </c>
      <c r="I561" s="11" t="n">
        <f aca="false">_xlfn.MAXIFS(dados!$N$2:$N$1028,dados!$I$2:$I$1028,E561)</f>
        <v>5</v>
      </c>
      <c r="J561" s="3"/>
      <c r="K561" s="3"/>
    </row>
    <row r="562" customFormat="false" ht="15" hidden="false" customHeight="false" outlineLevel="0" collapsed="false">
      <c r="A562" s="2" t="s">
        <v>70</v>
      </c>
      <c r="B562" s="2" t="s">
        <v>642</v>
      </c>
      <c r="C562" s="2" t="n">
        <v>92</v>
      </c>
      <c r="D562" s="2" t="s">
        <v>71</v>
      </c>
      <c r="E562" s="2" t="s">
        <v>659</v>
      </c>
      <c r="F562" s="6" t="n">
        <f aca="false">COUNTIF(dados!$I$2:$I$1028,E562)</f>
        <v>1</v>
      </c>
      <c r="G562" s="10" t="n">
        <f aca="false">SUMIFS(dados!$M$2:$M$1028,dados!$I$2:$I$1028,E562)</f>
        <v>0.00287274672280871</v>
      </c>
      <c r="H562" s="7" t="n">
        <f aca="false">SQRT(G562*40000/PI())</f>
        <v>6.04788783749202</v>
      </c>
      <c r="I562" s="11" t="n">
        <f aca="false">_xlfn.MAXIFS(dados!$N$2:$N$1028,dados!$I$2:$I$1028,E562)</f>
        <v>5</v>
      </c>
      <c r="J562" s="3"/>
      <c r="K562" s="3"/>
    </row>
    <row r="563" customFormat="false" ht="15" hidden="false" customHeight="false" outlineLevel="0" collapsed="false">
      <c r="A563" s="2" t="s">
        <v>70</v>
      </c>
      <c r="B563" s="2" t="s">
        <v>642</v>
      </c>
      <c r="C563" s="2" t="n">
        <v>93</v>
      </c>
      <c r="D563" s="2" t="s">
        <v>71</v>
      </c>
      <c r="E563" s="2" t="s">
        <v>660</v>
      </c>
      <c r="F563" s="6" t="n">
        <f aca="false">COUNTIF(dados!$I$2:$I$1028,E563)</f>
        <v>1</v>
      </c>
      <c r="G563" s="10" t="n">
        <f aca="false">SUMIFS(dados!$M$2:$M$1028,dados!$I$2:$I$1028,E563)</f>
        <v>0.00458366236104659</v>
      </c>
      <c r="H563" s="7" t="n">
        <f aca="false">SQRT(G563*40000/PI())</f>
        <v>7.63943726841098</v>
      </c>
      <c r="I563" s="11" t="n">
        <f aca="false">_xlfn.MAXIFS(dados!$N$2:$N$1028,dados!$I$2:$I$1028,E563)</f>
        <v>7</v>
      </c>
      <c r="J563" s="3"/>
      <c r="K563" s="3"/>
    </row>
    <row r="564" customFormat="false" ht="15" hidden="false" customHeight="false" outlineLevel="0" collapsed="false">
      <c r="A564" s="2" t="s">
        <v>70</v>
      </c>
      <c r="B564" s="2" t="s">
        <v>642</v>
      </c>
      <c r="C564" s="2" t="n">
        <v>94</v>
      </c>
      <c r="D564" s="2" t="s">
        <v>37</v>
      </c>
      <c r="E564" s="2" t="s">
        <v>661</v>
      </c>
      <c r="F564" s="6" t="n">
        <f aca="false">COUNTIF(dados!$I$2:$I$1028,E564)</f>
        <v>1</v>
      </c>
      <c r="G564" s="10" t="n">
        <f aca="false">SUMIFS(dados!$M$2:$M$1028,dados!$I$2:$I$1028,E564)</f>
        <v>0.00229978892767789</v>
      </c>
      <c r="H564" s="7" t="n">
        <f aca="false">SQRT(G564*40000/PI())</f>
        <v>5.41126806512444</v>
      </c>
      <c r="I564" s="11" t="n">
        <f aca="false">_xlfn.MAXIFS(dados!$N$2:$N$1028,dados!$I$2:$I$1028,E564)</f>
        <v>5</v>
      </c>
      <c r="J564" s="3"/>
      <c r="K564" s="3"/>
    </row>
    <row r="565" customFormat="false" ht="15" hidden="false" customHeight="false" outlineLevel="0" collapsed="false">
      <c r="A565" s="2" t="s">
        <v>70</v>
      </c>
      <c r="B565" s="2" t="s">
        <v>642</v>
      </c>
      <c r="C565" s="2" t="n">
        <v>95</v>
      </c>
      <c r="D565" s="2" t="s">
        <v>71</v>
      </c>
      <c r="E565" s="2" t="s">
        <v>662</v>
      </c>
      <c r="F565" s="6" t="n">
        <f aca="false">COUNTIF(dados!$I$2:$I$1028,E565)</f>
        <v>1</v>
      </c>
      <c r="G565" s="10" t="n">
        <f aca="false">SUMIFS(dados!$M$2:$M$1028,dados!$I$2:$I$1028,E565)</f>
        <v>0.00203718327157626</v>
      </c>
      <c r="H565" s="7" t="n">
        <f aca="false">SQRT(G565*40000/PI())</f>
        <v>5.09295817894065</v>
      </c>
      <c r="I565" s="11" t="n">
        <f aca="false">_xlfn.MAXIFS(dados!$N$2:$N$1028,dados!$I$2:$I$1028,E565)</f>
        <v>5</v>
      </c>
      <c r="J565" s="3"/>
      <c r="K565" s="3"/>
    </row>
    <row r="566" customFormat="false" ht="15" hidden="false" customHeight="false" outlineLevel="0" collapsed="false">
      <c r="A566" s="2" t="s">
        <v>70</v>
      </c>
      <c r="B566" s="2" t="s">
        <v>642</v>
      </c>
      <c r="C566" s="2" t="n">
        <v>96</v>
      </c>
      <c r="D566" s="2" t="s">
        <v>71</v>
      </c>
      <c r="E566" s="2" t="s">
        <v>663</v>
      </c>
      <c r="F566" s="6" t="n">
        <f aca="false">COUNTIF(dados!$I$2:$I$1028,E566)</f>
        <v>2</v>
      </c>
      <c r="G566" s="10" t="n">
        <f aca="false">SUMIFS(dados!$M$2:$M$1028,dados!$I$2:$I$1028,E566)</f>
        <v>0.00372422566835035</v>
      </c>
      <c r="H566" s="7" t="n">
        <f aca="false">SQRT(G566*40000/PI())</f>
        <v>6.88609569673658</v>
      </c>
      <c r="I566" s="11" t="n">
        <f aca="false">_xlfn.MAXIFS(dados!$N$2:$N$1028,dados!$I$2:$I$1028,E566)</f>
        <v>5</v>
      </c>
      <c r="J566" s="3"/>
      <c r="K566" s="3"/>
    </row>
    <row r="567" customFormat="false" ht="15" hidden="false" customHeight="false" outlineLevel="0" collapsed="false">
      <c r="A567" s="2" t="s">
        <v>70</v>
      </c>
      <c r="B567" s="2" t="s">
        <v>642</v>
      </c>
      <c r="C567" s="2" t="n">
        <v>97</v>
      </c>
      <c r="D567" s="2" t="s">
        <v>71</v>
      </c>
      <c r="E567" s="2" t="s">
        <v>664</v>
      </c>
      <c r="F567" s="6" t="n">
        <f aca="false">COUNTIF(dados!$I$2:$I$1028,E567)</f>
        <v>1</v>
      </c>
      <c r="G567" s="10" t="n">
        <f aca="false">SUMIFS(dados!$M$2:$M$1028,dados!$I$2:$I$1028,E567)</f>
        <v>0.00318309886183791</v>
      </c>
      <c r="H567" s="7" t="n">
        <f aca="false">SQRT(G567*40000/PI())</f>
        <v>6.36619772367581</v>
      </c>
      <c r="I567" s="11" t="n">
        <f aca="false">_xlfn.MAXIFS(dados!$N$2:$N$1028,dados!$I$2:$I$1028,E567)</f>
        <v>5</v>
      </c>
      <c r="J567" s="3"/>
      <c r="K567" s="3"/>
    </row>
    <row r="568" customFormat="false" ht="15" hidden="false" customHeight="false" outlineLevel="0" collapsed="false">
      <c r="A568" s="2" t="s">
        <v>70</v>
      </c>
      <c r="B568" s="2" t="s">
        <v>642</v>
      </c>
      <c r="C568" s="2" t="n">
        <v>98</v>
      </c>
      <c r="D568" s="2" t="s">
        <v>37</v>
      </c>
      <c r="E568" s="2" t="s">
        <v>665</v>
      </c>
      <c r="F568" s="6" t="n">
        <f aca="false">COUNTIF(dados!$I$2:$I$1028,E568)</f>
        <v>1</v>
      </c>
      <c r="G568" s="10" t="n">
        <f aca="false">SUMIFS(dados!$M$2:$M$1028,dados!$I$2:$I$1028,E568)</f>
        <v>0.00458366236104659</v>
      </c>
      <c r="H568" s="7" t="n">
        <f aca="false">SQRT(G568*40000/PI())</f>
        <v>7.63943726841098</v>
      </c>
      <c r="I568" s="11" t="n">
        <f aca="false">_xlfn.MAXIFS(dados!$N$2:$N$1028,dados!$I$2:$I$1028,E568)</f>
        <v>8</v>
      </c>
      <c r="J568" s="3"/>
      <c r="K568" s="3"/>
    </row>
    <row r="569" customFormat="false" ht="15" hidden="false" customHeight="false" outlineLevel="0" collapsed="false">
      <c r="A569" s="2" t="s">
        <v>70</v>
      </c>
      <c r="B569" s="2" t="s">
        <v>642</v>
      </c>
      <c r="C569" s="2" t="n">
        <v>99</v>
      </c>
      <c r="D569" s="2" t="s">
        <v>72</v>
      </c>
      <c r="E569" s="2" t="s">
        <v>666</v>
      </c>
      <c r="F569" s="6" t="n">
        <f aca="false">COUNTIF(dados!$I$2:$I$1028,E569)</f>
        <v>1</v>
      </c>
      <c r="G569" s="10" t="n">
        <f aca="false">SUMIFS(dados!$M$2:$M$1028,dados!$I$2:$I$1028,E569)</f>
        <v>0.00229978892767789</v>
      </c>
      <c r="H569" s="7" t="n">
        <f aca="false">SQRT(G569*40000/PI())</f>
        <v>5.41126806512444</v>
      </c>
      <c r="I569" s="11" t="n">
        <f aca="false">_xlfn.MAXIFS(dados!$N$2:$N$1028,dados!$I$2:$I$1028,E569)</f>
        <v>2.5</v>
      </c>
      <c r="J569" s="3"/>
      <c r="K569" s="3"/>
    </row>
    <row r="570" customFormat="false" ht="15" hidden="false" customHeight="false" outlineLevel="0" collapsed="false">
      <c r="A570" s="2" t="s">
        <v>70</v>
      </c>
      <c r="B570" s="2" t="s">
        <v>642</v>
      </c>
      <c r="C570" s="2" t="n">
        <v>100</v>
      </c>
      <c r="D570" s="2" t="s">
        <v>37</v>
      </c>
      <c r="E570" s="2" t="s">
        <v>667</v>
      </c>
      <c r="F570" s="6" t="n">
        <f aca="false">COUNTIF(dados!$I$2:$I$1028,E570)</f>
        <v>1</v>
      </c>
      <c r="G570" s="10" t="n">
        <f aca="false">SUMIFS(dados!$M$2:$M$1028,dados!$I$2:$I$1028,E570)</f>
        <v>0.0086659866513537</v>
      </c>
      <c r="H570" s="7" t="n">
        <f aca="false">SQRT(G570*40000/PI())</f>
        <v>10.5042262440651</v>
      </c>
      <c r="I570" s="11" t="n">
        <f aca="false">_xlfn.MAXIFS(dados!$N$2:$N$1028,dados!$I$2:$I$1028,E570)</f>
        <v>7</v>
      </c>
      <c r="J570" s="3"/>
      <c r="K570" s="3"/>
    </row>
    <row r="571" customFormat="false" ht="15" hidden="false" customHeight="false" outlineLevel="0" collapsed="false">
      <c r="A571" s="2" t="s">
        <v>70</v>
      </c>
      <c r="B571" s="2" t="s">
        <v>642</v>
      </c>
      <c r="C571" s="2" t="n">
        <v>101</v>
      </c>
      <c r="D571" s="2" t="s">
        <v>37</v>
      </c>
      <c r="E571" s="2" t="s">
        <v>668</v>
      </c>
      <c r="F571" s="6" t="n">
        <f aca="false">COUNTIF(dados!$I$2:$I$1028,E571)</f>
        <v>1</v>
      </c>
      <c r="G571" s="10" t="n">
        <f aca="false">SUMIFS(dados!$M$2:$M$1028,dados!$I$2:$I$1028,E571)</f>
        <v>0.00179049310978382</v>
      </c>
      <c r="H571" s="7" t="n">
        <f aca="false">SQRT(G571*40000/PI())</f>
        <v>4.77464829275686</v>
      </c>
      <c r="I571" s="11" t="n">
        <f aca="false">_xlfn.MAXIFS(dados!$N$2:$N$1028,dados!$I$2:$I$1028,E571)</f>
        <v>5</v>
      </c>
      <c r="J571" s="3"/>
      <c r="K571" s="3"/>
    </row>
    <row r="572" customFormat="false" ht="15" hidden="false" customHeight="false" outlineLevel="0" collapsed="false">
      <c r="A572" s="2" t="s">
        <v>70</v>
      </c>
      <c r="B572" s="2" t="s">
        <v>642</v>
      </c>
      <c r="C572" s="2" t="n">
        <v>102</v>
      </c>
      <c r="D572" s="2" t="s">
        <v>77</v>
      </c>
      <c r="E572" s="2" t="s">
        <v>669</v>
      </c>
      <c r="F572" s="6" t="n">
        <f aca="false">COUNTIF(dados!$I$2:$I$1028,E572)</f>
        <v>1</v>
      </c>
      <c r="G572" s="10" t="n">
        <f aca="false">SUMIFS(dados!$M$2:$M$1028,dados!$I$2:$I$1028,E572)</f>
        <v>0.00229978892767789</v>
      </c>
      <c r="H572" s="7" t="n">
        <f aca="false">SQRT(G572*40000/PI())</f>
        <v>5.41126806512444</v>
      </c>
      <c r="I572" s="11" t="n">
        <f aca="false">_xlfn.MAXIFS(dados!$N$2:$N$1028,dados!$I$2:$I$1028,E572)</f>
        <v>7</v>
      </c>
      <c r="J572" s="3"/>
      <c r="K572" s="3"/>
    </row>
    <row r="573" customFormat="false" ht="15" hidden="false" customHeight="false" outlineLevel="0" collapsed="false">
      <c r="A573" s="2" t="s">
        <v>70</v>
      </c>
      <c r="B573" s="2" t="s">
        <v>642</v>
      </c>
      <c r="C573" s="2" t="n">
        <v>103</v>
      </c>
      <c r="D573" s="2" t="s">
        <v>37</v>
      </c>
      <c r="E573" s="2" t="s">
        <v>670</v>
      </c>
      <c r="F573" s="6" t="n">
        <f aca="false">COUNTIF(dados!$I$2:$I$1028,E573)</f>
        <v>1</v>
      </c>
      <c r="G573" s="10" t="n">
        <f aca="false">SUMIFS(dados!$M$2:$M$1028,dados!$I$2:$I$1028,E573)</f>
        <v>0.00318309886183791</v>
      </c>
      <c r="H573" s="7" t="n">
        <f aca="false">SQRT(G573*40000/PI())</f>
        <v>6.36619772367581</v>
      </c>
      <c r="I573" s="11" t="n">
        <f aca="false">_xlfn.MAXIFS(dados!$N$2:$N$1028,dados!$I$2:$I$1028,E573)</f>
        <v>7</v>
      </c>
      <c r="J573" s="3"/>
      <c r="K573" s="3"/>
    </row>
    <row r="574" customFormat="false" ht="15" hidden="false" customHeight="false" outlineLevel="0" collapsed="false">
      <c r="A574" s="2" t="s">
        <v>70</v>
      </c>
      <c r="B574" s="2" t="s">
        <v>642</v>
      </c>
      <c r="C574" s="2" t="n">
        <v>104</v>
      </c>
      <c r="D574" s="2" t="s">
        <v>37</v>
      </c>
      <c r="E574" s="2" t="s">
        <v>671</v>
      </c>
      <c r="F574" s="6" t="n">
        <f aca="false">COUNTIF(dados!$I$2:$I$1028,E574)</f>
        <v>1</v>
      </c>
      <c r="G574" s="10" t="n">
        <f aca="false">SUMIFS(dados!$M$2:$M$1028,dados!$I$2:$I$1028,E574)</f>
        <v>0.0161144379880544</v>
      </c>
      <c r="H574" s="7" t="n">
        <f aca="false">SQRT(G574*40000/PI())</f>
        <v>14.3239448782706</v>
      </c>
      <c r="I574" s="11" t="n">
        <f aca="false">_xlfn.MAXIFS(dados!$N$2:$N$1028,dados!$I$2:$I$1028,E574)</f>
        <v>11</v>
      </c>
      <c r="J574" s="3"/>
      <c r="K574" s="3"/>
    </row>
    <row r="575" customFormat="false" ht="15" hidden="false" customHeight="false" outlineLevel="0" collapsed="false">
      <c r="A575" s="2" t="s">
        <v>70</v>
      </c>
      <c r="B575" s="2" t="s">
        <v>642</v>
      </c>
      <c r="C575" s="2" t="n">
        <v>105</v>
      </c>
      <c r="D575" s="2" t="s">
        <v>37</v>
      </c>
      <c r="E575" s="2" t="s">
        <v>672</v>
      </c>
      <c r="F575" s="6" t="n">
        <f aca="false">COUNTIF(dados!$I$2:$I$1028,E575)</f>
        <v>1</v>
      </c>
      <c r="G575" s="10" t="n">
        <f aca="false">SUMIFS(dados!$M$2:$M$1028,dados!$I$2:$I$1028,E575)</f>
        <v>0.00350936649517629</v>
      </c>
      <c r="H575" s="7" t="n">
        <f aca="false">SQRT(G575*40000/PI())</f>
        <v>6.68450760985961</v>
      </c>
      <c r="I575" s="11" t="n">
        <f aca="false">_xlfn.MAXIFS(dados!$N$2:$N$1028,dados!$I$2:$I$1028,E575)</f>
        <v>7</v>
      </c>
      <c r="J575" s="3"/>
      <c r="K575" s="3"/>
    </row>
    <row r="576" customFormat="false" ht="15" hidden="false" customHeight="false" outlineLevel="0" collapsed="false">
      <c r="A576" s="2" t="s">
        <v>70</v>
      </c>
      <c r="B576" s="2" t="s">
        <v>642</v>
      </c>
      <c r="C576" s="2" t="n">
        <v>106</v>
      </c>
      <c r="D576" s="2" t="s">
        <v>78</v>
      </c>
      <c r="E576" s="2" t="s">
        <v>673</v>
      </c>
      <c r="F576" s="6" t="n">
        <f aca="false">COUNTIF(dados!$I$2:$I$1028,E576)</f>
        <v>1</v>
      </c>
      <c r="G576" s="10" t="n">
        <f aca="false">SUMIFS(dados!$M$2:$M$1028,dados!$I$2:$I$1028,E576)</f>
        <v>0.0140374659807052</v>
      </c>
      <c r="H576" s="7" t="n">
        <f aca="false">SQRT(G576*40000/PI())</f>
        <v>13.3690152197192</v>
      </c>
      <c r="I576" s="11" t="n">
        <f aca="false">_xlfn.MAXIFS(dados!$N$2:$N$1028,dados!$I$2:$I$1028,E576)</f>
        <v>3</v>
      </c>
      <c r="J576" s="3"/>
      <c r="K576" s="3"/>
    </row>
    <row r="577" customFormat="false" ht="15" hidden="false" customHeight="false" outlineLevel="0" collapsed="false">
      <c r="A577" s="2" t="s">
        <v>70</v>
      </c>
      <c r="B577" s="2" t="s">
        <v>642</v>
      </c>
      <c r="C577" s="2" t="n">
        <v>107</v>
      </c>
      <c r="D577" s="2" t="s">
        <v>37</v>
      </c>
      <c r="E577" s="2" t="s">
        <v>674</v>
      </c>
      <c r="F577" s="6" t="n">
        <f aca="false">COUNTIF(dados!$I$2:$I$1028,E577)</f>
        <v>1</v>
      </c>
      <c r="G577" s="10" t="n">
        <f aca="false">SUMIFS(dados!$M$2:$M$1028,dados!$I$2:$I$1028,E577)</f>
        <v>0.0121037334221386</v>
      </c>
      <c r="H577" s="7" t="n">
        <f aca="false">SQRT(G577*40000/PI())</f>
        <v>12.4140855611678</v>
      </c>
      <c r="I577" s="11" t="n">
        <f aca="false">_xlfn.MAXIFS(dados!$N$2:$N$1028,dados!$I$2:$I$1028,E577)</f>
        <v>12</v>
      </c>
      <c r="J577" s="3"/>
      <c r="K577" s="3"/>
    </row>
    <row r="578" customFormat="false" ht="15" hidden="false" customHeight="false" outlineLevel="0" collapsed="false">
      <c r="A578" s="2" t="s">
        <v>70</v>
      </c>
      <c r="B578" s="2" t="s">
        <v>642</v>
      </c>
      <c r="C578" s="2" t="n">
        <v>108</v>
      </c>
      <c r="D578" s="2" t="s">
        <v>79</v>
      </c>
      <c r="E578" s="2" t="s">
        <v>675</v>
      </c>
      <c r="F578" s="6" t="n">
        <f aca="false">COUNTIF(dados!$I$2:$I$1028,E578)</f>
        <v>1</v>
      </c>
      <c r="G578" s="10" t="n">
        <f aca="false">SUMIFS(dados!$M$2:$M$1028,dados!$I$2:$I$1028,E578)</f>
        <v>0.00203718327157626</v>
      </c>
      <c r="H578" s="7" t="n">
        <f aca="false">SQRT(G578*40000/PI())</f>
        <v>5.09295817894065</v>
      </c>
      <c r="I578" s="11" t="n">
        <f aca="false">_xlfn.MAXIFS(dados!$N$2:$N$1028,dados!$I$2:$I$1028,E578)</f>
        <v>6</v>
      </c>
      <c r="J578" s="3"/>
      <c r="K578" s="3"/>
    </row>
    <row r="579" customFormat="false" ht="15" hidden="false" customHeight="false" outlineLevel="0" collapsed="false">
      <c r="A579" s="2" t="s">
        <v>70</v>
      </c>
      <c r="B579" s="2" t="s">
        <v>642</v>
      </c>
      <c r="C579" s="2" t="n">
        <v>109</v>
      </c>
      <c r="D579" s="2" t="s">
        <v>37</v>
      </c>
      <c r="E579" s="2" t="s">
        <v>676</v>
      </c>
      <c r="F579" s="6" t="n">
        <f aca="false">COUNTIF(dados!$I$2:$I$1028,E579)</f>
        <v>1</v>
      </c>
      <c r="G579" s="10" t="n">
        <f aca="false">SUMIFS(dados!$M$2:$M$1028,dados!$I$2:$I$1028,E579)</f>
        <v>0.00458366236104659</v>
      </c>
      <c r="H579" s="7" t="n">
        <f aca="false">SQRT(G579*40000/PI())</f>
        <v>7.63943726841098</v>
      </c>
      <c r="I579" s="11" t="n">
        <f aca="false">_xlfn.MAXIFS(dados!$N$2:$N$1028,dados!$I$2:$I$1028,E579)</f>
        <v>8</v>
      </c>
      <c r="J579" s="3"/>
      <c r="K579" s="3"/>
    </row>
    <row r="580" customFormat="false" ht="15" hidden="false" customHeight="false" outlineLevel="0" collapsed="false">
      <c r="A580" s="2" t="s">
        <v>70</v>
      </c>
      <c r="B580" s="2" t="s">
        <v>642</v>
      </c>
      <c r="C580" s="2" t="n">
        <v>110</v>
      </c>
      <c r="D580" s="2" t="s">
        <v>37</v>
      </c>
      <c r="E580" s="2" t="s">
        <v>677</v>
      </c>
      <c r="F580" s="6" t="n">
        <f aca="false">COUNTIF(dados!$I$2:$I$1028,E580)</f>
        <v>1</v>
      </c>
      <c r="G580" s="10" t="n">
        <f aca="false">SUMIFS(dados!$M$2:$M$1028,dados!$I$2:$I$1028,E580)</f>
        <v>0.0025783100780887</v>
      </c>
      <c r="H580" s="7" t="n">
        <f aca="false">SQRT(G580*40000/PI())</f>
        <v>5.72957795130823</v>
      </c>
      <c r="I580" s="11" t="n">
        <f aca="false">_xlfn.MAXIFS(dados!$N$2:$N$1028,dados!$I$2:$I$1028,E580)</f>
        <v>3</v>
      </c>
      <c r="J580" s="3"/>
      <c r="K580" s="3"/>
    </row>
    <row r="581" customFormat="false" ht="15" hidden="false" customHeight="false" outlineLevel="0" collapsed="false">
      <c r="A581" s="2" t="s">
        <v>70</v>
      </c>
      <c r="B581" s="2" t="s">
        <v>642</v>
      </c>
      <c r="C581" s="2" t="n">
        <v>111</v>
      </c>
      <c r="D581" s="2" t="s">
        <v>37</v>
      </c>
      <c r="E581" s="2" t="s">
        <v>678</v>
      </c>
      <c r="F581" s="6" t="n">
        <f aca="false">COUNTIF(dados!$I$2:$I$1028,E581)</f>
        <v>1</v>
      </c>
      <c r="G581" s="10" t="n">
        <f aca="false">SUMIFS(dados!$M$2:$M$1028,dados!$I$2:$I$1028,E581)</f>
        <v>0.0086659866513537</v>
      </c>
      <c r="H581" s="7" t="n">
        <f aca="false">SQRT(G581*40000/PI())</f>
        <v>10.5042262440651</v>
      </c>
      <c r="I581" s="11" t="n">
        <f aca="false">_xlfn.MAXIFS(dados!$N$2:$N$1028,dados!$I$2:$I$1028,E581)</f>
        <v>7</v>
      </c>
      <c r="J581" s="3"/>
      <c r="K581" s="3"/>
    </row>
    <row r="582" customFormat="false" ht="15" hidden="false" customHeight="false" outlineLevel="0" collapsed="false">
      <c r="A582" s="2" t="s">
        <v>70</v>
      </c>
      <c r="B582" s="2" t="s">
        <v>642</v>
      </c>
      <c r="C582" s="2" t="n">
        <v>112</v>
      </c>
      <c r="D582" s="2" t="s">
        <v>71</v>
      </c>
      <c r="E582" s="2" t="s">
        <v>679</v>
      </c>
      <c r="F582" s="6" t="n">
        <f aca="false">COUNTIF(dados!$I$2:$I$1028,E582)</f>
        <v>1</v>
      </c>
      <c r="G582" s="10" t="n">
        <f aca="false">SUMIFS(dados!$M$2:$M$1028,dados!$I$2:$I$1028,E582)</f>
        <v>0.00497359197162173</v>
      </c>
      <c r="H582" s="7" t="n">
        <f aca="false">SQRT(G582*40000/PI())</f>
        <v>7.95774715459477</v>
      </c>
      <c r="I582" s="11" t="n">
        <f aca="false">_xlfn.MAXIFS(dados!$N$2:$N$1028,dados!$I$2:$I$1028,E582)</f>
        <v>6</v>
      </c>
      <c r="J582" s="3"/>
      <c r="K582" s="3"/>
    </row>
    <row r="583" customFormat="false" ht="15" hidden="false" customHeight="false" outlineLevel="0" collapsed="false">
      <c r="A583" s="2" t="s">
        <v>70</v>
      </c>
      <c r="B583" s="2" t="s">
        <v>642</v>
      </c>
      <c r="C583" s="2" t="n">
        <v>113</v>
      </c>
      <c r="D583" s="2" t="s">
        <v>71</v>
      </c>
      <c r="E583" s="2" t="s">
        <v>680</v>
      </c>
      <c r="F583" s="6" t="n">
        <f aca="false">COUNTIF(dados!$I$2:$I$1028,E583)</f>
        <v>1</v>
      </c>
      <c r="G583" s="10" t="n">
        <f aca="false">SUMIFS(dados!$M$2:$M$1028,dados!$I$2:$I$1028,E583)</f>
        <v>0.00229978892767789</v>
      </c>
      <c r="H583" s="7" t="n">
        <f aca="false">SQRT(G583*40000/PI())</f>
        <v>5.41126806512444</v>
      </c>
      <c r="I583" s="11" t="n">
        <f aca="false">_xlfn.MAXIFS(dados!$N$2:$N$1028,dados!$I$2:$I$1028,E583)</f>
        <v>5</v>
      </c>
      <c r="J583" s="3"/>
      <c r="K583" s="3"/>
    </row>
    <row r="584" customFormat="false" ht="15" hidden="false" customHeight="false" outlineLevel="0" collapsed="false">
      <c r="A584" s="2" t="s">
        <v>70</v>
      </c>
      <c r="B584" s="2" t="s">
        <v>642</v>
      </c>
      <c r="C584" s="2" t="n">
        <v>114</v>
      </c>
      <c r="D584" s="2" t="s">
        <v>80</v>
      </c>
      <c r="E584" s="2" t="s">
        <v>681</v>
      </c>
      <c r="F584" s="6" t="n">
        <f aca="false">COUNTIF(dados!$I$2:$I$1028,E584)</f>
        <v>1</v>
      </c>
      <c r="G584" s="10" t="n">
        <f aca="false">SUMIFS(dados!$M$2:$M$1028,dados!$I$2:$I$1028,E584)</f>
        <v>0.00203718327157626</v>
      </c>
      <c r="H584" s="7" t="n">
        <f aca="false">SQRT(G584*40000/PI())</f>
        <v>5.09295817894065</v>
      </c>
      <c r="I584" s="11" t="n">
        <f aca="false">_xlfn.MAXIFS(dados!$N$2:$N$1028,dados!$I$2:$I$1028,E584)</f>
        <v>7</v>
      </c>
      <c r="J584" s="3"/>
      <c r="K584" s="3"/>
    </row>
    <row r="585" customFormat="false" ht="15" hidden="false" customHeight="false" outlineLevel="0" collapsed="false">
      <c r="A585" s="2" t="s">
        <v>70</v>
      </c>
      <c r="B585" s="2" t="s">
        <v>642</v>
      </c>
      <c r="C585" s="2" t="n">
        <v>115</v>
      </c>
      <c r="D585" s="2" t="s">
        <v>37</v>
      </c>
      <c r="E585" s="2" t="s">
        <v>682</v>
      </c>
      <c r="F585" s="6" t="n">
        <f aca="false">COUNTIF(dados!$I$2:$I$1028,E585)</f>
        <v>1</v>
      </c>
      <c r="G585" s="10" t="n">
        <f aca="false">SUMIFS(dados!$M$2:$M$1028,dados!$I$2:$I$1028,E585)</f>
        <v>0.0424068345868355</v>
      </c>
      <c r="H585" s="7" t="n">
        <f aca="false">SQRT(G585*40000/PI())</f>
        <v>23.2366216914167</v>
      </c>
      <c r="I585" s="11" t="n">
        <f aca="false">_xlfn.MAXIFS(dados!$N$2:$N$1028,dados!$I$2:$I$1028,E585)</f>
        <v>11</v>
      </c>
      <c r="J585" s="3"/>
      <c r="K585" s="3"/>
    </row>
    <row r="586" customFormat="false" ht="15" hidden="false" customHeight="false" outlineLevel="0" collapsed="false">
      <c r="A586" s="2" t="s">
        <v>70</v>
      </c>
      <c r="B586" s="2" t="s">
        <v>642</v>
      </c>
      <c r="C586" s="2" t="n">
        <v>116</v>
      </c>
      <c r="D586" s="2" t="s">
        <v>37</v>
      </c>
      <c r="E586" s="2" t="s">
        <v>683</v>
      </c>
      <c r="F586" s="6" t="n">
        <f aca="false">COUNTIF(dados!$I$2:$I$1028,E586)</f>
        <v>1</v>
      </c>
      <c r="G586" s="10" t="n">
        <f aca="false">SUMIFS(dados!$M$2:$M$1028,dados!$I$2:$I$1028,E586)</f>
        <v>0.0025783100780887</v>
      </c>
      <c r="H586" s="7" t="n">
        <f aca="false">SQRT(G586*40000/PI())</f>
        <v>5.72957795130823</v>
      </c>
      <c r="I586" s="11" t="n">
        <f aca="false">_xlfn.MAXIFS(dados!$N$2:$N$1028,dados!$I$2:$I$1028,E586)</f>
        <v>6</v>
      </c>
      <c r="J586" s="3"/>
      <c r="K586" s="3"/>
    </row>
    <row r="587" customFormat="false" ht="15" hidden="false" customHeight="false" outlineLevel="0" collapsed="false">
      <c r="A587" s="2" t="s">
        <v>70</v>
      </c>
      <c r="B587" s="2" t="s">
        <v>642</v>
      </c>
      <c r="C587" s="2" t="n">
        <v>117</v>
      </c>
      <c r="D587" s="2" t="s">
        <v>37</v>
      </c>
      <c r="E587" s="2" t="s">
        <v>684</v>
      </c>
      <c r="F587" s="6" t="n">
        <f aca="false">COUNTIF(dados!$I$2:$I$1028,E587)</f>
        <v>1</v>
      </c>
      <c r="G587" s="10" t="n">
        <f aca="false">SUMIFS(dados!$M$2:$M$1028,dados!$I$2:$I$1028,E587)</f>
        <v>0.00919915571071155</v>
      </c>
      <c r="H587" s="7" t="n">
        <f aca="false">SQRT(G587*40000/PI())</f>
        <v>10.8225361302489</v>
      </c>
      <c r="I587" s="11" t="n">
        <f aca="false">_xlfn.MAXIFS(dados!$N$2:$N$1028,dados!$I$2:$I$1028,E587)</f>
        <v>9</v>
      </c>
      <c r="J587" s="3"/>
      <c r="K587" s="3"/>
    </row>
    <row r="588" customFormat="false" ht="15" hidden="false" customHeight="false" outlineLevel="0" collapsed="false">
      <c r="A588" s="2" t="s">
        <v>70</v>
      </c>
      <c r="B588" s="2" t="s">
        <v>642</v>
      </c>
      <c r="C588" s="2" t="n">
        <v>118</v>
      </c>
      <c r="D588" s="2" t="s">
        <v>37</v>
      </c>
      <c r="E588" s="2" t="s">
        <v>685</v>
      </c>
      <c r="F588" s="6" t="n">
        <f aca="false">COUNTIF(dados!$I$2:$I$1028,E588)</f>
        <v>1</v>
      </c>
      <c r="G588" s="10" t="n">
        <f aca="false">SUMIFS(dados!$M$2:$M$1028,dados!$I$2:$I$1028,E588)</f>
        <v>0.00497359197162173</v>
      </c>
      <c r="H588" s="7" t="n">
        <f aca="false">SQRT(G588*40000/PI())</f>
        <v>7.95774715459477</v>
      </c>
      <c r="I588" s="11" t="n">
        <f aca="false">_xlfn.MAXIFS(dados!$N$2:$N$1028,dados!$I$2:$I$1028,E588)</f>
        <v>8</v>
      </c>
      <c r="J588" s="3"/>
      <c r="K588" s="3"/>
    </row>
    <row r="589" customFormat="false" ht="15" hidden="false" customHeight="false" outlineLevel="0" collapsed="false">
      <c r="A589" s="2" t="s">
        <v>70</v>
      </c>
      <c r="B589" s="2" t="s">
        <v>642</v>
      </c>
      <c r="C589" s="2" t="n">
        <v>119</v>
      </c>
      <c r="D589" s="2" t="s">
        <v>78</v>
      </c>
      <c r="E589" s="2" t="s">
        <v>686</v>
      </c>
      <c r="F589" s="6" t="n">
        <f aca="false">COUNTIF(dados!$I$2:$I$1028,E589)</f>
        <v>1</v>
      </c>
      <c r="G589" s="10" t="n">
        <f aca="false">SUMIFS(dados!$M$2:$M$1028,dados!$I$2:$I$1028,E589)</f>
        <v>0.00974824026437859</v>
      </c>
      <c r="H589" s="7" t="n">
        <f aca="false">SQRT(G589*40000/PI())</f>
        <v>11.1408460164327</v>
      </c>
      <c r="I589" s="11" t="n">
        <f aca="false">_xlfn.MAXIFS(dados!$N$2:$N$1028,dados!$I$2:$I$1028,E589)</f>
        <v>2.5</v>
      </c>
      <c r="J589" s="3"/>
      <c r="K589" s="3"/>
    </row>
    <row r="590" customFormat="false" ht="15" hidden="false" customHeight="false" outlineLevel="0" collapsed="false">
      <c r="A590" s="2" t="s">
        <v>70</v>
      </c>
      <c r="B590" s="2" t="s">
        <v>642</v>
      </c>
      <c r="C590" s="2" t="n">
        <v>120</v>
      </c>
      <c r="D590" s="2" t="s">
        <v>37</v>
      </c>
      <c r="E590" s="2" t="s">
        <v>687</v>
      </c>
      <c r="F590" s="6" t="n">
        <f aca="false">COUNTIF(dados!$I$2:$I$1028,E590)</f>
        <v>1</v>
      </c>
      <c r="G590" s="10" t="n">
        <f aca="false">SUMIFS(dados!$M$2:$M$1028,dados!$I$2:$I$1028,E590)</f>
        <v>0.00497359197162173</v>
      </c>
      <c r="H590" s="7" t="n">
        <f aca="false">SQRT(G590*40000/PI())</f>
        <v>7.95774715459477</v>
      </c>
      <c r="I590" s="11" t="n">
        <f aca="false">_xlfn.MAXIFS(dados!$N$2:$N$1028,dados!$I$2:$I$1028,E590)</f>
        <v>9</v>
      </c>
      <c r="J590" s="3"/>
      <c r="K590" s="3"/>
    </row>
    <row r="591" customFormat="false" ht="15" hidden="false" customHeight="false" outlineLevel="0" collapsed="false">
      <c r="A591" s="2" t="s">
        <v>70</v>
      </c>
      <c r="B591" s="2" t="s">
        <v>642</v>
      </c>
      <c r="C591" s="2" t="n">
        <v>121</v>
      </c>
      <c r="D591" s="2" t="s">
        <v>37</v>
      </c>
      <c r="E591" s="2" t="s">
        <v>688</v>
      </c>
      <c r="F591" s="6" t="n">
        <f aca="false">COUNTIF(dados!$I$2:$I$1028,E591)</f>
        <v>1</v>
      </c>
      <c r="G591" s="10" t="n">
        <f aca="false">SUMIFS(dados!$M$2:$M$1028,dados!$I$2:$I$1028,E591)</f>
        <v>0.00203718327157626</v>
      </c>
      <c r="H591" s="7" t="n">
        <f aca="false">SQRT(G591*40000/PI())</f>
        <v>5.09295817894065</v>
      </c>
      <c r="I591" s="11" t="n">
        <f aca="false">_xlfn.MAXIFS(dados!$N$2:$N$1028,dados!$I$2:$I$1028,E591)</f>
        <v>6</v>
      </c>
      <c r="J591" s="3"/>
      <c r="K591" s="3"/>
    </row>
    <row r="592" customFormat="false" ht="15" hidden="false" customHeight="false" outlineLevel="0" collapsed="false">
      <c r="A592" s="2" t="s">
        <v>70</v>
      </c>
      <c r="B592" s="2" t="s">
        <v>642</v>
      </c>
      <c r="C592" s="2" t="n">
        <v>122</v>
      </c>
      <c r="D592" s="2" t="s">
        <v>37</v>
      </c>
      <c r="E592" s="2" t="s">
        <v>689</v>
      </c>
      <c r="F592" s="6" t="n">
        <f aca="false">COUNTIF(dados!$I$2:$I$1028,E592)</f>
        <v>1</v>
      </c>
      <c r="G592" s="10" t="n">
        <f aca="false">SUMIFS(dados!$M$2:$M$1028,dados!$I$2:$I$1028,E592)</f>
        <v>0.00497359197162173</v>
      </c>
      <c r="H592" s="7" t="n">
        <f aca="false">SQRT(G592*40000/PI())</f>
        <v>7.95774715459477</v>
      </c>
      <c r="I592" s="11" t="n">
        <f aca="false">_xlfn.MAXIFS(dados!$N$2:$N$1028,dados!$I$2:$I$1028,E592)</f>
        <v>10</v>
      </c>
      <c r="J592" s="3"/>
      <c r="K592" s="3"/>
    </row>
    <row r="593" customFormat="false" ht="15" hidden="false" customHeight="false" outlineLevel="0" collapsed="false">
      <c r="A593" s="2" t="s">
        <v>70</v>
      </c>
      <c r="B593" s="2" t="s">
        <v>642</v>
      </c>
      <c r="C593" s="2" t="n">
        <v>123</v>
      </c>
      <c r="D593" s="2" t="s">
        <v>37</v>
      </c>
      <c r="E593" s="2" t="s">
        <v>690</v>
      </c>
      <c r="F593" s="6" t="n">
        <f aca="false">COUNTIF(dados!$I$2:$I$1028,E593)</f>
        <v>1</v>
      </c>
      <c r="G593" s="10" t="n">
        <f aca="false">SUMIFS(dados!$M$2:$M$1028,dados!$I$2:$I$1028,E593)</f>
        <v>0.00764739501556557</v>
      </c>
      <c r="H593" s="7" t="n">
        <f aca="false">SQRT(G593*40000/PI())</f>
        <v>9.86760647169751</v>
      </c>
      <c r="I593" s="11" t="n">
        <f aca="false">_xlfn.MAXIFS(dados!$N$2:$N$1028,dados!$I$2:$I$1028,E593)</f>
        <v>9</v>
      </c>
      <c r="J593" s="3"/>
      <c r="K593" s="3"/>
    </row>
    <row r="594" customFormat="false" ht="15" hidden="false" customHeight="false" outlineLevel="0" collapsed="false">
      <c r="A594" s="2" t="s">
        <v>70</v>
      </c>
      <c r="B594" s="2" t="s">
        <v>642</v>
      </c>
      <c r="C594" s="2" t="n">
        <v>124</v>
      </c>
      <c r="D594" s="2" t="s">
        <v>37</v>
      </c>
      <c r="E594" s="2" t="s">
        <v>691</v>
      </c>
      <c r="F594" s="6" t="n">
        <f aca="false">COUNTIF(dados!$I$2:$I$1028,E594)</f>
        <v>1</v>
      </c>
      <c r="G594" s="10" t="n">
        <f aca="false">SUMIFS(dados!$M$2:$M$1028,dados!$I$2:$I$1028,E594)</f>
        <v>0.0232047907027983</v>
      </c>
      <c r="H594" s="7" t="n">
        <f aca="false">SQRT(G594*40000/PI())</f>
        <v>17.1887338539247</v>
      </c>
      <c r="I594" s="11" t="n">
        <f aca="false">_xlfn.MAXIFS(dados!$N$2:$N$1028,dados!$I$2:$I$1028,E594)</f>
        <v>10</v>
      </c>
      <c r="J594" s="3"/>
      <c r="K594" s="3"/>
    </row>
    <row r="595" customFormat="false" ht="15" hidden="false" customHeight="false" outlineLevel="0" collapsed="false">
      <c r="A595" s="2" t="s">
        <v>70</v>
      </c>
      <c r="B595" s="2" t="s">
        <v>642</v>
      </c>
      <c r="C595" s="2" t="n">
        <v>125</v>
      </c>
      <c r="D595" s="2" t="s">
        <v>71</v>
      </c>
      <c r="E595" s="2" t="s">
        <v>692</v>
      </c>
      <c r="F595" s="6" t="n">
        <f aca="false">COUNTIF(dados!$I$2:$I$1028,E595)</f>
        <v>1</v>
      </c>
      <c r="G595" s="10" t="n">
        <f aca="false">SUMIFS(dados!$M$2:$M$1028,dados!$I$2:$I$1028,E595)</f>
        <v>0.0066924653570142</v>
      </c>
      <c r="H595" s="7" t="n">
        <f aca="false">SQRT(G595*40000/PI())</f>
        <v>9.23098669932993</v>
      </c>
      <c r="I595" s="11" t="n">
        <f aca="false">_xlfn.MAXIFS(dados!$N$2:$N$1028,dados!$I$2:$I$1028,E595)</f>
        <v>5</v>
      </c>
      <c r="J595" s="3"/>
      <c r="K595" s="3"/>
    </row>
    <row r="596" customFormat="false" ht="15" hidden="false" customHeight="false" outlineLevel="0" collapsed="false">
      <c r="A596" s="2" t="s">
        <v>70</v>
      </c>
      <c r="B596" s="2" t="s">
        <v>642</v>
      </c>
      <c r="C596" s="2" t="n">
        <v>126</v>
      </c>
      <c r="D596" s="2" t="s">
        <v>37</v>
      </c>
      <c r="E596" s="2" t="s">
        <v>693</v>
      </c>
      <c r="F596" s="6" t="n">
        <f aca="false">COUNTIF(dados!$I$2:$I$1028,E596)</f>
        <v>1</v>
      </c>
      <c r="G596" s="10" t="n">
        <f aca="false">SUMIFS(dados!$M$2:$M$1028,dados!$I$2:$I$1028,E596)</f>
        <v>0.00497359197162173</v>
      </c>
      <c r="H596" s="7" t="n">
        <f aca="false">SQRT(G596*40000/PI())</f>
        <v>7.95774715459477</v>
      </c>
      <c r="I596" s="11" t="n">
        <f aca="false">_xlfn.MAXIFS(dados!$N$2:$N$1028,dados!$I$2:$I$1028,E596)</f>
        <v>7</v>
      </c>
      <c r="J596" s="3"/>
      <c r="K596" s="3"/>
    </row>
    <row r="597" customFormat="false" ht="15" hidden="false" customHeight="false" outlineLevel="0" collapsed="false">
      <c r="A597" s="2" t="s">
        <v>70</v>
      </c>
      <c r="B597" s="2" t="s">
        <v>642</v>
      </c>
      <c r="C597" s="2" t="n">
        <v>127</v>
      </c>
      <c r="D597" s="2" t="s">
        <v>71</v>
      </c>
      <c r="E597" s="2" t="s">
        <v>694</v>
      </c>
      <c r="F597" s="6" t="n">
        <f aca="false">COUNTIF(dados!$I$2:$I$1028,E597)</f>
        <v>1</v>
      </c>
      <c r="G597" s="10" t="n">
        <f aca="false">SUMIFS(dados!$M$2:$M$1028,dados!$I$2:$I$1028,E597)</f>
        <v>0.00458366236104659</v>
      </c>
      <c r="H597" s="7" t="n">
        <f aca="false">SQRT(G597*40000/PI())</f>
        <v>7.63943726841098</v>
      </c>
      <c r="I597" s="11" t="n">
        <f aca="false">_xlfn.MAXIFS(dados!$N$2:$N$1028,dados!$I$2:$I$1028,E597)</f>
        <v>9</v>
      </c>
      <c r="J597" s="3"/>
      <c r="K597" s="3"/>
    </row>
    <row r="598" customFormat="false" ht="15" hidden="false" customHeight="false" outlineLevel="0" collapsed="false">
      <c r="A598" s="2" t="s">
        <v>70</v>
      </c>
      <c r="B598" s="2" t="s">
        <v>642</v>
      </c>
      <c r="C598" s="2" t="n">
        <v>128</v>
      </c>
      <c r="D598" s="2" t="s">
        <v>37</v>
      </c>
      <c r="E598" s="2" t="s">
        <v>695</v>
      </c>
      <c r="F598" s="6" t="n">
        <f aca="false">COUNTIF(dados!$I$2:$I$1028,E598)</f>
        <v>1</v>
      </c>
      <c r="G598" s="10" t="n">
        <f aca="false">SUMIFS(dados!$M$2:$M$1028,dados!$I$2:$I$1028,E598)</f>
        <v>0.00287274672280871</v>
      </c>
      <c r="H598" s="7" t="n">
        <f aca="false">SQRT(G598*40000/PI())</f>
        <v>6.04788783749202</v>
      </c>
      <c r="I598" s="11" t="n">
        <f aca="false">_xlfn.MAXIFS(dados!$N$2:$N$1028,dados!$I$2:$I$1028,E598)</f>
        <v>9</v>
      </c>
      <c r="J598" s="3"/>
      <c r="K598" s="3"/>
    </row>
    <row r="599" customFormat="false" ht="15" hidden="false" customHeight="false" outlineLevel="0" collapsed="false">
      <c r="A599" s="2" t="s">
        <v>70</v>
      </c>
      <c r="B599" s="2" t="s">
        <v>642</v>
      </c>
      <c r="C599" s="2" t="n">
        <v>129</v>
      </c>
      <c r="D599" s="2" t="s">
        <v>60</v>
      </c>
      <c r="E599" s="2" t="s">
        <v>696</v>
      </c>
      <c r="F599" s="6" t="n">
        <f aca="false">COUNTIF(dados!$I$2:$I$1028,E599)</f>
        <v>1</v>
      </c>
      <c r="G599" s="10" t="n">
        <f aca="false">SUMIFS(dados!$M$2:$M$1028,dados!$I$2:$I$1028,E599)</f>
        <v>0.00420964824478063</v>
      </c>
      <c r="H599" s="7" t="n">
        <f aca="false">SQRT(G599*40000/PI())</f>
        <v>7.32112738222719</v>
      </c>
      <c r="I599" s="11" t="n">
        <f aca="false">_xlfn.MAXIFS(dados!$N$2:$N$1028,dados!$I$2:$I$1028,E599)</f>
        <v>9</v>
      </c>
      <c r="J599" s="3"/>
      <c r="K599" s="3"/>
    </row>
    <row r="600" customFormat="false" ht="15" hidden="false" customHeight="false" outlineLevel="0" collapsed="false">
      <c r="A600" s="2" t="s">
        <v>70</v>
      </c>
      <c r="B600" s="2" t="s">
        <v>642</v>
      </c>
      <c r="C600" s="2" t="n">
        <v>130</v>
      </c>
      <c r="D600" s="2" t="s">
        <v>37</v>
      </c>
      <c r="E600" s="2" t="s">
        <v>697</v>
      </c>
      <c r="F600" s="6" t="n">
        <f aca="false">COUNTIF(dados!$I$2:$I$1028,E600)</f>
        <v>1</v>
      </c>
      <c r="G600" s="10" t="n">
        <f aca="false">SUMIFS(dados!$M$2:$M$1028,dados!$I$2:$I$1028,E600)</f>
        <v>0.0062388737692023</v>
      </c>
      <c r="H600" s="7" t="n">
        <f aca="false">SQRT(G600*40000/PI())</f>
        <v>8.91267681314614</v>
      </c>
      <c r="I600" s="11" t="n">
        <f aca="false">_xlfn.MAXIFS(dados!$N$2:$N$1028,dados!$I$2:$I$1028,E600)</f>
        <v>12</v>
      </c>
      <c r="J600" s="3"/>
      <c r="K600" s="3"/>
    </row>
    <row r="601" customFormat="false" ht="15" hidden="false" customHeight="false" outlineLevel="0" collapsed="false">
      <c r="A601" s="2" t="s">
        <v>70</v>
      </c>
      <c r="B601" s="2" t="s">
        <v>642</v>
      </c>
      <c r="C601" s="2" t="n">
        <v>131</v>
      </c>
      <c r="D601" s="2" t="s">
        <v>71</v>
      </c>
      <c r="E601" s="2" t="s">
        <v>698</v>
      </c>
      <c r="F601" s="6" t="n">
        <f aca="false">COUNTIF(dados!$I$2:$I$1028,E601)</f>
        <v>1</v>
      </c>
      <c r="G601" s="10" t="n">
        <f aca="false">SUMIFS(dados!$M$2:$M$1028,dados!$I$2:$I$1028,E601)</f>
        <v>0.0025783100780887</v>
      </c>
      <c r="H601" s="7" t="n">
        <f aca="false">SQRT(G601*40000/PI())</f>
        <v>5.72957795130823</v>
      </c>
      <c r="I601" s="11" t="n">
        <f aca="false">_xlfn.MAXIFS(dados!$N$2:$N$1028,dados!$I$2:$I$1028,E601)</f>
        <v>7</v>
      </c>
      <c r="J601" s="3"/>
      <c r="K601" s="3"/>
    </row>
    <row r="602" customFormat="false" ht="15" hidden="false" customHeight="false" outlineLevel="0" collapsed="false">
      <c r="A602" s="2" t="s">
        <v>70</v>
      </c>
      <c r="B602" s="2" t="s">
        <v>642</v>
      </c>
      <c r="C602" s="2" t="n">
        <v>132</v>
      </c>
      <c r="D602" s="2" t="s">
        <v>45</v>
      </c>
      <c r="E602" s="2" t="s">
        <v>699</v>
      </c>
      <c r="F602" s="6" t="n">
        <f aca="false">COUNTIF(dados!$I$2:$I$1028,E602)</f>
        <v>1</v>
      </c>
      <c r="G602" s="10" t="n">
        <f aca="false">SUMIFS(dados!$M$2:$M$1028,dados!$I$2:$I$1028,E602)</f>
        <v>0.0103132403123548</v>
      </c>
      <c r="H602" s="7" t="n">
        <f aca="false">SQRT(G602*40000/PI())</f>
        <v>11.4591559026165</v>
      </c>
      <c r="I602" s="11" t="n">
        <f aca="false">_xlfn.MAXIFS(dados!$N$2:$N$1028,dados!$I$2:$I$1028,E602)</f>
        <v>8</v>
      </c>
      <c r="J602" s="3"/>
      <c r="K602" s="3"/>
    </row>
    <row r="603" customFormat="false" ht="15" hidden="false" customHeight="false" outlineLevel="0" collapsed="false">
      <c r="A603" s="2" t="s">
        <v>70</v>
      </c>
      <c r="B603" s="2" t="s">
        <v>642</v>
      </c>
      <c r="C603" s="2" t="n">
        <v>133</v>
      </c>
      <c r="D603" s="2" t="s">
        <v>37</v>
      </c>
      <c r="E603" s="2" t="s">
        <v>700</v>
      </c>
      <c r="F603" s="6" t="n">
        <f aca="false">COUNTIF(dados!$I$2:$I$1028,E603)</f>
        <v>1</v>
      </c>
      <c r="G603" s="10" t="n">
        <f aca="false">SUMIFS(dados!$M$2:$M$1028,dados!$I$2:$I$1028,E603)</f>
        <v>0.00385154962282387</v>
      </c>
      <c r="H603" s="7" t="n">
        <f aca="false">SQRT(G603*40000/PI())</f>
        <v>7.0028174960434</v>
      </c>
      <c r="I603" s="11" t="n">
        <f aca="false">_xlfn.MAXIFS(dados!$N$2:$N$1028,dados!$I$2:$I$1028,E603)</f>
        <v>8</v>
      </c>
      <c r="J603" s="3"/>
      <c r="K603" s="3"/>
    </row>
    <row r="604" customFormat="false" ht="15" hidden="false" customHeight="false" outlineLevel="0" collapsed="false">
      <c r="A604" s="2" t="s">
        <v>70</v>
      </c>
      <c r="B604" s="2" t="s">
        <v>642</v>
      </c>
      <c r="C604" s="2" t="n">
        <v>134</v>
      </c>
      <c r="D604" s="2" t="s">
        <v>37</v>
      </c>
      <c r="E604" s="2" t="s">
        <v>701</v>
      </c>
      <c r="F604" s="6" t="n">
        <f aca="false">COUNTIF(dados!$I$2:$I$1028,E604)</f>
        <v>1</v>
      </c>
      <c r="G604" s="10" t="n">
        <f aca="false">SUMIFS(dados!$M$2:$M$1028,dados!$I$2:$I$1028,E604)</f>
        <v>0.0114909868912348</v>
      </c>
      <c r="H604" s="7" t="n">
        <f aca="false">SQRT(G604*40000/PI())</f>
        <v>12.095775674984</v>
      </c>
      <c r="I604" s="11" t="n">
        <f aca="false">_xlfn.MAXIFS(dados!$N$2:$N$1028,dados!$I$2:$I$1028,E604)</f>
        <v>11</v>
      </c>
      <c r="J604" s="3"/>
      <c r="K604" s="3"/>
    </row>
    <row r="605" customFormat="false" ht="15" hidden="false" customHeight="false" outlineLevel="0" collapsed="false">
      <c r="A605" s="2" t="s">
        <v>70</v>
      </c>
      <c r="B605" s="2" t="s">
        <v>642</v>
      </c>
      <c r="C605" s="2" t="n">
        <v>135</v>
      </c>
      <c r="D605" s="2" t="s">
        <v>71</v>
      </c>
      <c r="E605" s="2" t="s">
        <v>702</v>
      </c>
      <c r="F605" s="6" t="n">
        <f aca="false">COUNTIF(dados!$I$2:$I$1028,E605)</f>
        <v>3</v>
      </c>
      <c r="G605" s="10" t="n">
        <f aca="false">SUMIFS(dados!$M$2:$M$1028,dados!$I$2:$I$1028,E605)</f>
        <v>0.00771105699280233</v>
      </c>
      <c r="H605" s="7" t="n">
        <f aca="false">SQRT(G605*40000/PI())</f>
        <v>9.90859359088995</v>
      </c>
      <c r="I605" s="11" t="n">
        <f aca="false">_xlfn.MAXIFS(dados!$N$2:$N$1028,dados!$I$2:$I$1028,E605)</f>
        <v>6</v>
      </c>
      <c r="J605" s="3"/>
      <c r="K605" s="3"/>
    </row>
    <row r="606" customFormat="false" ht="15" hidden="false" customHeight="false" outlineLevel="0" collapsed="false">
      <c r="A606" s="2" t="s">
        <v>70</v>
      </c>
      <c r="B606" s="2" t="s">
        <v>642</v>
      </c>
      <c r="C606" s="2" t="n">
        <v>136</v>
      </c>
      <c r="D606" s="2" t="s">
        <v>37</v>
      </c>
      <c r="E606" s="2" t="s">
        <v>703</v>
      </c>
      <c r="F606" s="6" t="n">
        <f aca="false">COUNTIF(dados!$I$2:$I$1028,E606)</f>
        <v>1</v>
      </c>
      <c r="G606" s="10" t="n">
        <f aca="false">SUMIFS(dados!$M$2:$M$1028,dados!$I$2:$I$1028,E606)</f>
        <v>0.00537943707650606</v>
      </c>
      <c r="H606" s="7" t="n">
        <f aca="false">SQRT(G606*40000/PI())</f>
        <v>8.27605704077856</v>
      </c>
      <c r="I606" s="11" t="n">
        <f aca="false">_xlfn.MAXIFS(dados!$N$2:$N$1028,dados!$I$2:$I$1028,E606)</f>
        <v>8</v>
      </c>
      <c r="J606" s="3"/>
      <c r="K606" s="3"/>
    </row>
    <row r="607" customFormat="false" ht="15" hidden="false" customHeight="false" outlineLevel="0" collapsed="false">
      <c r="A607" s="2" t="s">
        <v>70</v>
      </c>
      <c r="B607" s="2" t="s">
        <v>642</v>
      </c>
      <c r="C607" s="2" t="n">
        <v>137</v>
      </c>
      <c r="D607" s="2" t="s">
        <v>37</v>
      </c>
      <c r="E607" s="2" t="s">
        <v>704</v>
      </c>
      <c r="F607" s="6" t="n">
        <f aca="false">COUNTIF(dados!$I$2:$I$1028,E607)</f>
        <v>1</v>
      </c>
      <c r="G607" s="10" t="n">
        <f aca="false">SUMIFS(dados!$M$2:$M$1028,dados!$I$2:$I$1028,E607)</f>
        <v>0.00537943707650606</v>
      </c>
      <c r="H607" s="7" t="n">
        <f aca="false">SQRT(G607*40000/PI())</f>
        <v>8.27605704077856</v>
      </c>
      <c r="I607" s="11" t="n">
        <f aca="false">_xlfn.MAXIFS(dados!$N$2:$N$1028,dados!$I$2:$I$1028,E607)</f>
        <v>5</v>
      </c>
      <c r="J607" s="3"/>
      <c r="K607" s="3"/>
    </row>
    <row r="608" customFormat="false" ht="15" hidden="false" customHeight="false" outlineLevel="0" collapsed="false">
      <c r="A608" s="2" t="s">
        <v>70</v>
      </c>
      <c r="B608" s="2" t="s">
        <v>642</v>
      </c>
      <c r="C608" s="2" t="n">
        <v>138</v>
      </c>
      <c r="D608" s="2" t="s">
        <v>71</v>
      </c>
      <c r="E608" s="2" t="s">
        <v>705</v>
      </c>
      <c r="F608" s="6" t="n">
        <f aca="false">COUNTIF(dados!$I$2:$I$1028,E608)</f>
        <v>1</v>
      </c>
      <c r="G608" s="10" t="n">
        <f aca="false">SUMIFS(dados!$M$2:$M$1028,dados!$I$2:$I$1028,E608)</f>
        <v>0.00458366236104659</v>
      </c>
      <c r="H608" s="7" t="n">
        <f aca="false">SQRT(G608*40000/PI())</f>
        <v>7.63943726841098</v>
      </c>
      <c r="I608" s="11" t="n">
        <f aca="false">_xlfn.MAXIFS(dados!$N$2:$N$1028,dados!$I$2:$I$1028,E608)</f>
        <v>5</v>
      </c>
      <c r="J608" s="3"/>
      <c r="K608" s="3"/>
    </row>
    <row r="609" customFormat="false" ht="15" hidden="false" customHeight="false" outlineLevel="0" collapsed="false">
      <c r="A609" s="2" t="s">
        <v>70</v>
      </c>
      <c r="B609" s="2" t="s">
        <v>706</v>
      </c>
      <c r="C609" s="2" t="n">
        <v>139</v>
      </c>
      <c r="D609" s="2" t="s">
        <v>37</v>
      </c>
      <c r="E609" s="2" t="s">
        <v>707</v>
      </c>
      <c r="F609" s="6" t="n">
        <f aca="false">COUNTIF(dados!$I$2:$I$1028,E609)</f>
        <v>11</v>
      </c>
      <c r="G609" s="10" t="n">
        <f aca="false">SUMIFS(dados!$M$2:$M$1028,dados!$I$2:$I$1028,E609)</f>
        <v>0.0102097895993451</v>
      </c>
      <c r="H609" s="7" t="n">
        <f aca="false">SQRT(G609*40000/PI())</f>
        <v>11.4015384318573</v>
      </c>
      <c r="I609" s="11" t="n">
        <f aca="false">_xlfn.MAXIFS(dados!$N$2:$N$1028,dados!$I$2:$I$1028,E609)</f>
        <v>5</v>
      </c>
      <c r="J609" s="3"/>
      <c r="K609" s="3"/>
    </row>
    <row r="610" customFormat="false" ht="15" hidden="false" customHeight="false" outlineLevel="0" collapsed="false">
      <c r="A610" s="2" t="s">
        <v>70</v>
      </c>
      <c r="B610" s="2" t="s">
        <v>706</v>
      </c>
      <c r="C610" s="2" t="n">
        <v>140</v>
      </c>
      <c r="D610" s="2" t="s">
        <v>37</v>
      </c>
      <c r="E610" s="2" t="s">
        <v>708</v>
      </c>
      <c r="F610" s="6" t="n">
        <f aca="false">COUNTIF(dados!$I$2:$I$1028,E610)</f>
        <v>1</v>
      </c>
      <c r="G610" s="10" t="n">
        <f aca="false">SUMIFS(dados!$M$2:$M$1028,dados!$I$2:$I$1028,E610)</f>
        <v>0.00287274672280871</v>
      </c>
      <c r="H610" s="7" t="n">
        <f aca="false">SQRT(G610*40000/PI())</f>
        <v>6.04788783749202</v>
      </c>
      <c r="I610" s="11" t="n">
        <f aca="false">_xlfn.MAXIFS(dados!$N$2:$N$1028,dados!$I$2:$I$1028,E610)</f>
        <v>6</v>
      </c>
      <c r="J610" s="3"/>
      <c r="K610" s="3"/>
    </row>
    <row r="611" customFormat="false" ht="15" hidden="false" customHeight="false" outlineLevel="0" collapsed="false">
      <c r="A611" s="2" t="s">
        <v>70</v>
      </c>
      <c r="B611" s="2" t="s">
        <v>706</v>
      </c>
      <c r="C611" s="2" t="n">
        <v>141</v>
      </c>
      <c r="D611" s="2" t="s">
        <v>37</v>
      </c>
      <c r="E611" s="2" t="s">
        <v>709</v>
      </c>
      <c r="F611" s="6" t="n">
        <f aca="false">COUNTIF(dados!$I$2:$I$1028,E611)</f>
        <v>1</v>
      </c>
      <c r="G611" s="10" t="n">
        <f aca="false">SUMIFS(dados!$M$2:$M$1028,dados!$I$2:$I$1028,E611)</f>
        <v>0.00203718327157626</v>
      </c>
      <c r="H611" s="7" t="n">
        <f aca="false">SQRT(G611*40000/PI())</f>
        <v>5.09295817894065</v>
      </c>
      <c r="I611" s="11" t="n">
        <f aca="false">_xlfn.MAXIFS(dados!$N$2:$N$1028,dados!$I$2:$I$1028,E611)</f>
        <v>6</v>
      </c>
      <c r="J611" s="3"/>
      <c r="K611" s="3"/>
    </row>
    <row r="612" customFormat="false" ht="15" hidden="false" customHeight="false" outlineLevel="0" collapsed="false">
      <c r="A612" s="2" t="s">
        <v>70</v>
      </c>
      <c r="B612" s="2" t="s">
        <v>706</v>
      </c>
      <c r="C612" s="2" t="n">
        <v>142</v>
      </c>
      <c r="D612" s="2" t="s">
        <v>37</v>
      </c>
      <c r="E612" s="2" t="s">
        <v>710</v>
      </c>
      <c r="F612" s="6" t="n">
        <f aca="false">COUNTIF(dados!$I$2:$I$1028,E612)</f>
        <v>1</v>
      </c>
      <c r="G612" s="10" t="n">
        <f aca="false">SUMIFS(dados!$M$2:$M$1028,dados!$I$2:$I$1028,E612)</f>
        <v>0.0025783100780887</v>
      </c>
      <c r="H612" s="7" t="n">
        <f aca="false">SQRT(G612*40000/PI())</f>
        <v>5.72957795130823</v>
      </c>
      <c r="I612" s="11" t="n">
        <f aca="false">_xlfn.MAXIFS(dados!$N$2:$N$1028,dados!$I$2:$I$1028,E612)</f>
        <v>5</v>
      </c>
      <c r="J612" s="3"/>
      <c r="K612" s="3"/>
    </row>
    <row r="613" customFormat="false" ht="15" hidden="false" customHeight="false" outlineLevel="0" collapsed="false">
      <c r="A613" s="2" t="s">
        <v>70</v>
      </c>
      <c r="B613" s="2" t="s">
        <v>706</v>
      </c>
      <c r="C613" s="2" t="n">
        <v>143</v>
      </c>
      <c r="D613" s="2" t="s">
        <v>71</v>
      </c>
      <c r="E613" s="2" t="s">
        <v>711</v>
      </c>
      <c r="F613" s="6" t="n">
        <f aca="false">COUNTIF(dados!$I$2:$I$1028,E613)</f>
        <v>1</v>
      </c>
      <c r="G613" s="10" t="n">
        <f aca="false">SUMIFS(dados!$M$2:$M$1028,dados!$I$2:$I$1028,E613)</f>
        <v>0.00229978892767789</v>
      </c>
      <c r="H613" s="7" t="n">
        <f aca="false">SQRT(G613*40000/PI())</f>
        <v>5.41126806512444</v>
      </c>
      <c r="I613" s="11" t="n">
        <f aca="false">_xlfn.MAXIFS(dados!$N$2:$N$1028,dados!$I$2:$I$1028,E613)</f>
        <v>4</v>
      </c>
      <c r="J613" s="3"/>
      <c r="K613" s="3"/>
    </row>
    <row r="614" customFormat="false" ht="15" hidden="false" customHeight="false" outlineLevel="0" collapsed="false">
      <c r="A614" s="2" t="s">
        <v>70</v>
      </c>
      <c r="B614" s="2" t="s">
        <v>706</v>
      </c>
      <c r="C614" s="2" t="n">
        <v>144</v>
      </c>
      <c r="D614" s="2" t="s">
        <v>37</v>
      </c>
      <c r="E614" s="2" t="s">
        <v>712</v>
      </c>
      <c r="F614" s="6" t="n">
        <f aca="false">COUNTIF(dados!$I$2:$I$1028,E614)</f>
        <v>1</v>
      </c>
      <c r="G614" s="10" t="n">
        <f aca="false">SUMIFS(dados!$M$2:$M$1028,dados!$I$2:$I$1028,E614)</f>
        <v>0.00458366236104659</v>
      </c>
      <c r="H614" s="7" t="n">
        <f aca="false">SQRT(G614*40000/PI())</f>
        <v>7.63943726841098</v>
      </c>
      <c r="I614" s="11" t="n">
        <f aca="false">_xlfn.MAXIFS(dados!$N$2:$N$1028,dados!$I$2:$I$1028,E614)</f>
        <v>6</v>
      </c>
      <c r="J614" s="3"/>
      <c r="K614" s="3"/>
    </row>
    <row r="615" customFormat="false" ht="15" hidden="false" customHeight="false" outlineLevel="0" collapsed="false">
      <c r="A615" s="2" t="s">
        <v>70</v>
      </c>
      <c r="B615" s="2" t="s">
        <v>706</v>
      </c>
      <c r="C615" s="2" t="n">
        <v>145</v>
      </c>
      <c r="D615" s="2" t="s">
        <v>37</v>
      </c>
      <c r="E615" s="2" t="s">
        <v>713</v>
      </c>
      <c r="F615" s="6" t="n">
        <f aca="false">COUNTIF(dados!$I$2:$I$1028,E615)</f>
        <v>1</v>
      </c>
      <c r="G615" s="10" t="n">
        <f aca="false">SUMIFS(dados!$M$2:$M$1028,dados!$I$2:$I$1028,E615)</f>
        <v>0.00179049310978382</v>
      </c>
      <c r="H615" s="7" t="n">
        <f aca="false">SQRT(G615*40000/PI())</f>
        <v>4.77464829275686</v>
      </c>
      <c r="I615" s="11" t="n">
        <f aca="false">_xlfn.MAXIFS(dados!$N$2:$N$1028,dados!$I$2:$I$1028,E615)</f>
        <v>3</v>
      </c>
      <c r="J615" s="3"/>
      <c r="K615" s="3"/>
    </row>
    <row r="616" customFormat="false" ht="15" hidden="false" customHeight="false" outlineLevel="0" collapsed="false">
      <c r="A616" s="2" t="s">
        <v>70</v>
      </c>
      <c r="B616" s="2" t="s">
        <v>706</v>
      </c>
      <c r="C616" s="2" t="n">
        <v>146</v>
      </c>
      <c r="D616" s="2" t="s">
        <v>37</v>
      </c>
      <c r="E616" s="2" t="s">
        <v>714</v>
      </c>
      <c r="F616" s="6" t="n">
        <f aca="false">COUNTIF(dados!$I$2:$I$1028,E616)</f>
        <v>1</v>
      </c>
      <c r="G616" s="10" t="n">
        <f aca="false">SUMIFS(dados!$M$2:$M$1028,dados!$I$2:$I$1028,E616)</f>
        <v>0.00420964824478063</v>
      </c>
      <c r="H616" s="7" t="n">
        <f aca="false">SQRT(G616*40000/PI())</f>
        <v>7.32112738222719</v>
      </c>
      <c r="I616" s="11" t="n">
        <f aca="false">_xlfn.MAXIFS(dados!$N$2:$N$1028,dados!$I$2:$I$1028,E616)</f>
        <v>5</v>
      </c>
      <c r="J616" s="3"/>
      <c r="K616" s="3"/>
    </row>
    <row r="617" customFormat="false" ht="15" hidden="false" customHeight="false" outlineLevel="0" collapsed="false">
      <c r="A617" s="2" t="s">
        <v>70</v>
      </c>
      <c r="B617" s="2" t="s">
        <v>706</v>
      </c>
      <c r="C617" s="2" t="n">
        <v>147</v>
      </c>
      <c r="D617" s="2" t="s">
        <v>37</v>
      </c>
      <c r="E617" s="2" t="s">
        <v>715</v>
      </c>
      <c r="F617" s="6" t="n">
        <f aca="false">COUNTIF(dados!$I$2:$I$1028,E617)</f>
        <v>1</v>
      </c>
      <c r="G617" s="10" t="n">
        <f aca="false">SUMIFS(dados!$M$2:$M$1028,dados!$I$2:$I$1028,E617)</f>
        <v>0.00350936649517629</v>
      </c>
      <c r="H617" s="7" t="n">
        <f aca="false">SQRT(G617*40000/PI())</f>
        <v>6.68450760985961</v>
      </c>
      <c r="I617" s="11" t="n">
        <f aca="false">_xlfn.MAXIFS(dados!$N$2:$N$1028,dados!$I$2:$I$1028,E617)</f>
        <v>5</v>
      </c>
      <c r="J617" s="3"/>
      <c r="K617" s="3"/>
    </row>
    <row r="618" customFormat="false" ht="15" hidden="false" customHeight="false" outlineLevel="0" collapsed="false">
      <c r="A618" s="2" t="s">
        <v>70</v>
      </c>
      <c r="B618" s="2" t="s">
        <v>706</v>
      </c>
      <c r="C618" s="2" t="n">
        <v>148</v>
      </c>
      <c r="D618" s="2" t="s">
        <v>37</v>
      </c>
      <c r="E618" s="2" t="s">
        <v>716</v>
      </c>
      <c r="F618" s="6" t="n">
        <f aca="false">COUNTIF(dados!$I$2:$I$1028,E618)</f>
        <v>2</v>
      </c>
      <c r="G618" s="10" t="n">
        <f aca="false">SUMIFS(dados!$M$2:$M$1028,dados!$I$2:$I$1028,E618)</f>
        <v>0.00318309886183791</v>
      </c>
      <c r="H618" s="7" t="n">
        <f aca="false">SQRT(G618*40000/PI())</f>
        <v>6.36619772367581</v>
      </c>
      <c r="I618" s="11" t="n">
        <f aca="false">_xlfn.MAXIFS(dados!$N$2:$N$1028,dados!$I$2:$I$1028,E618)</f>
        <v>5</v>
      </c>
      <c r="J618" s="3"/>
      <c r="K618" s="3"/>
    </row>
    <row r="619" customFormat="false" ht="15" hidden="false" customHeight="false" outlineLevel="0" collapsed="false">
      <c r="A619" s="2" t="s">
        <v>70</v>
      </c>
      <c r="B619" s="2" t="s">
        <v>706</v>
      </c>
      <c r="C619" s="2" t="n">
        <v>149</v>
      </c>
      <c r="D619" s="2" t="s">
        <v>37</v>
      </c>
      <c r="E619" s="2" t="s">
        <v>717</v>
      </c>
      <c r="F619" s="6" t="n">
        <f aca="false">COUNTIF(dados!$I$2:$I$1028,E619)</f>
        <v>1</v>
      </c>
      <c r="G619" s="10" t="n">
        <f aca="false">SUMIFS(dados!$M$2:$M$1028,dados!$I$2:$I$1028,E619)</f>
        <v>0.0066924653570142</v>
      </c>
      <c r="H619" s="7" t="n">
        <f aca="false">SQRT(G619*40000/PI())</f>
        <v>9.23098669932993</v>
      </c>
      <c r="I619" s="11" t="n">
        <f aca="false">_xlfn.MAXIFS(dados!$N$2:$N$1028,dados!$I$2:$I$1028,E619)</f>
        <v>8</v>
      </c>
      <c r="J619" s="3"/>
      <c r="K619" s="3"/>
    </row>
    <row r="620" customFormat="false" ht="15" hidden="false" customHeight="false" outlineLevel="0" collapsed="false">
      <c r="A620" s="2" t="s">
        <v>70</v>
      </c>
      <c r="B620" s="2" t="s">
        <v>706</v>
      </c>
      <c r="C620" s="2" t="n">
        <v>150</v>
      </c>
      <c r="D620" s="2" t="s">
        <v>71</v>
      </c>
      <c r="E620" s="2" t="s">
        <v>718</v>
      </c>
      <c r="F620" s="6" t="n">
        <f aca="false">COUNTIF(dados!$I$2:$I$1028,E620)</f>
        <v>1</v>
      </c>
      <c r="G620" s="10" t="n">
        <f aca="false">SUMIFS(dados!$M$2:$M$1028,dados!$I$2:$I$1028,E620)</f>
        <v>0.00179049310978382</v>
      </c>
      <c r="H620" s="7" t="n">
        <f aca="false">SQRT(G620*40000/PI())</f>
        <v>4.77464829275686</v>
      </c>
      <c r="I620" s="11" t="n">
        <f aca="false">_xlfn.MAXIFS(dados!$N$2:$N$1028,dados!$I$2:$I$1028,E620)</f>
        <v>3</v>
      </c>
      <c r="J620" s="3"/>
      <c r="K620" s="3"/>
    </row>
    <row r="621" customFormat="false" ht="15" hidden="false" customHeight="false" outlineLevel="0" collapsed="false">
      <c r="A621" s="2" t="s">
        <v>70</v>
      </c>
      <c r="B621" s="2" t="s">
        <v>706</v>
      </c>
      <c r="C621" s="2" t="n">
        <v>151</v>
      </c>
      <c r="D621" s="2" t="s">
        <v>37</v>
      </c>
      <c r="E621" s="2" t="s">
        <v>719</v>
      </c>
      <c r="F621" s="6" t="n">
        <f aca="false">COUNTIF(dados!$I$2:$I$1028,E621)</f>
        <v>1</v>
      </c>
      <c r="G621" s="10" t="n">
        <f aca="false">SUMIFS(dados!$M$2:$M$1028,dados!$I$2:$I$1028,E621)</f>
        <v>0.00385154962282387</v>
      </c>
      <c r="H621" s="7" t="n">
        <f aca="false">SQRT(G621*40000/PI())</f>
        <v>7.0028174960434</v>
      </c>
      <c r="I621" s="11" t="n">
        <f aca="false">_xlfn.MAXIFS(dados!$N$2:$N$1028,dados!$I$2:$I$1028,E621)</f>
        <v>6</v>
      </c>
      <c r="J621" s="3"/>
      <c r="K621" s="3"/>
    </row>
    <row r="622" customFormat="false" ht="15" hidden="false" customHeight="false" outlineLevel="0" collapsed="false">
      <c r="A622" s="2" t="s">
        <v>70</v>
      </c>
      <c r="B622" s="2" t="s">
        <v>706</v>
      </c>
      <c r="C622" s="2" t="n">
        <v>152</v>
      </c>
      <c r="D622" s="2" t="s">
        <v>71</v>
      </c>
      <c r="E622" s="2" t="s">
        <v>720</v>
      </c>
      <c r="F622" s="6" t="n">
        <f aca="false">COUNTIF(dados!$I$2:$I$1028,E622)</f>
        <v>1</v>
      </c>
      <c r="G622" s="10" t="n">
        <f aca="false">SUMIFS(dados!$M$2:$M$1028,dados!$I$2:$I$1028,E622)</f>
        <v>0.00497359197162173</v>
      </c>
      <c r="H622" s="7" t="n">
        <f aca="false">SQRT(G622*40000/PI())</f>
        <v>7.95774715459477</v>
      </c>
      <c r="I622" s="11" t="n">
        <f aca="false">_xlfn.MAXIFS(dados!$N$2:$N$1028,dados!$I$2:$I$1028,E622)</f>
        <v>1</v>
      </c>
      <c r="J622" s="3"/>
      <c r="K622" s="3"/>
    </row>
    <row r="623" customFormat="false" ht="15" hidden="false" customHeight="false" outlineLevel="0" collapsed="false">
      <c r="A623" s="2" t="s">
        <v>70</v>
      </c>
      <c r="B623" s="2" t="s">
        <v>706</v>
      </c>
      <c r="C623" s="2" t="n">
        <v>153</v>
      </c>
      <c r="D623" s="2" t="s">
        <v>37</v>
      </c>
      <c r="E623" s="2" t="s">
        <v>721</v>
      </c>
      <c r="F623" s="6" t="n">
        <f aca="false">COUNTIF(dados!$I$2:$I$1028,E623)</f>
        <v>1</v>
      </c>
      <c r="G623" s="10" t="n">
        <f aca="false">SUMIFS(dados!$M$2:$M$1028,dados!$I$2:$I$1028,E623)</f>
        <v>0.00203718327157626</v>
      </c>
      <c r="H623" s="7" t="n">
        <f aca="false">SQRT(G623*40000/PI())</f>
        <v>5.09295817894065</v>
      </c>
      <c r="I623" s="11" t="n">
        <f aca="false">_xlfn.MAXIFS(dados!$N$2:$N$1028,dados!$I$2:$I$1028,E623)</f>
        <v>6</v>
      </c>
      <c r="J623" s="3"/>
      <c r="K623" s="3"/>
    </row>
    <row r="624" customFormat="false" ht="15" hidden="false" customHeight="false" outlineLevel="0" collapsed="false">
      <c r="A624" s="2" t="s">
        <v>70</v>
      </c>
      <c r="B624" s="2" t="s">
        <v>706</v>
      </c>
      <c r="C624" s="2" t="n">
        <v>154</v>
      </c>
      <c r="D624" s="2" t="s">
        <v>37</v>
      </c>
      <c r="E624" s="2" t="s">
        <v>722</v>
      </c>
      <c r="F624" s="6" t="n">
        <f aca="false">COUNTIF(dados!$I$2:$I$1028,E624)</f>
        <v>1</v>
      </c>
      <c r="G624" s="10" t="n">
        <f aca="false">SUMIFS(dados!$M$2:$M$1028,dados!$I$2:$I$1028,E624)</f>
        <v>0.00580119767569958</v>
      </c>
      <c r="H624" s="7" t="n">
        <f aca="false">SQRT(G624*40000/PI())</f>
        <v>8.59436692696235</v>
      </c>
      <c r="I624" s="11" t="n">
        <f aca="false">_xlfn.MAXIFS(dados!$N$2:$N$1028,dados!$I$2:$I$1028,E624)</f>
        <v>8</v>
      </c>
      <c r="J624" s="3"/>
      <c r="K624" s="3"/>
    </row>
    <row r="625" customFormat="false" ht="15" hidden="false" customHeight="false" outlineLevel="0" collapsed="false">
      <c r="A625" s="2" t="s">
        <v>70</v>
      </c>
      <c r="B625" s="2" t="s">
        <v>706</v>
      </c>
      <c r="C625" s="2" t="n">
        <v>155</v>
      </c>
      <c r="D625" s="2" t="s">
        <v>37</v>
      </c>
      <c r="E625" s="2" t="s">
        <v>723</v>
      </c>
      <c r="F625" s="6" t="n">
        <f aca="false">COUNTIF(dados!$I$2:$I$1028,E625)</f>
        <v>2</v>
      </c>
      <c r="G625" s="10" t="n">
        <f aca="false">SUMIFS(dados!$M$2:$M$1028,dados!$I$2:$I$1028,E625)</f>
        <v>0.00545105680089742</v>
      </c>
      <c r="H625" s="7" t="n">
        <f aca="false">SQRT(G625*40000/PI())</f>
        <v>8.33096697838861</v>
      </c>
      <c r="I625" s="11" t="n">
        <f aca="false">_xlfn.MAXIFS(dados!$N$2:$N$1028,dados!$I$2:$I$1028,E625)</f>
        <v>3</v>
      </c>
      <c r="J625" s="3"/>
      <c r="K625" s="3"/>
    </row>
    <row r="626" customFormat="false" ht="15" hidden="false" customHeight="false" outlineLevel="0" collapsed="false">
      <c r="A626" s="2" t="s">
        <v>70</v>
      </c>
      <c r="B626" s="2" t="s">
        <v>706</v>
      </c>
      <c r="C626" s="2" t="n">
        <v>156</v>
      </c>
      <c r="D626" s="2" t="s">
        <v>71</v>
      </c>
      <c r="E626" s="2" t="s">
        <v>724</v>
      </c>
      <c r="F626" s="6" t="n">
        <f aca="false">COUNTIF(dados!$I$2:$I$1028,E626)</f>
        <v>1</v>
      </c>
      <c r="G626" s="10" t="n">
        <f aca="false">SUMIFS(dados!$M$2:$M$1028,dados!$I$2:$I$1028,E626)</f>
        <v>0.00350936649517629</v>
      </c>
      <c r="H626" s="7" t="n">
        <f aca="false">SQRT(G626*40000/PI())</f>
        <v>6.68450760985961</v>
      </c>
      <c r="I626" s="11" t="n">
        <f aca="false">_xlfn.MAXIFS(dados!$N$2:$N$1028,dados!$I$2:$I$1028,E626)</f>
        <v>0.5</v>
      </c>
      <c r="J626" s="3"/>
      <c r="K626" s="3"/>
    </row>
    <row r="627" customFormat="false" ht="15" hidden="false" customHeight="false" outlineLevel="0" collapsed="false">
      <c r="A627" s="2" t="s">
        <v>70</v>
      </c>
      <c r="B627" s="2" t="s">
        <v>706</v>
      </c>
      <c r="C627" s="2" t="n">
        <v>157</v>
      </c>
      <c r="D627" s="2" t="s">
        <v>37</v>
      </c>
      <c r="E627" s="2" t="s">
        <v>725</v>
      </c>
      <c r="F627" s="6" t="n">
        <f aca="false">COUNTIF(dados!$I$2:$I$1028,E627)</f>
        <v>1</v>
      </c>
      <c r="G627" s="10" t="n">
        <f aca="false">SUMIFS(dados!$M$2:$M$1028,dados!$I$2:$I$1028,E627)</f>
        <v>0.00229978892767789</v>
      </c>
      <c r="H627" s="7" t="n">
        <f aca="false">SQRT(G627*40000/PI())</f>
        <v>5.41126806512444</v>
      </c>
      <c r="I627" s="11" t="n">
        <f aca="false">_xlfn.MAXIFS(dados!$N$2:$N$1028,dados!$I$2:$I$1028,E627)</f>
        <v>5</v>
      </c>
      <c r="J627" s="3"/>
      <c r="K627" s="3"/>
    </row>
    <row r="628" customFormat="false" ht="15" hidden="false" customHeight="false" outlineLevel="0" collapsed="false">
      <c r="A628" s="2" t="s">
        <v>70</v>
      </c>
      <c r="B628" s="2" t="s">
        <v>706</v>
      </c>
      <c r="C628" s="2" t="n">
        <v>158</v>
      </c>
      <c r="D628" s="2" t="s">
        <v>37</v>
      </c>
      <c r="E628" s="2" t="s">
        <v>726</v>
      </c>
      <c r="F628" s="6" t="n">
        <f aca="false">COUNTIF(dados!$I$2:$I$1028,E628)</f>
        <v>4</v>
      </c>
      <c r="G628" s="10" t="n">
        <f aca="false">SUMIFS(dados!$M$2:$M$1028,dados!$I$2:$I$1028,E628)</f>
        <v>0.00857845143265316</v>
      </c>
      <c r="H628" s="7" t="n">
        <f aca="false">SQRT(G628*40000/PI())</f>
        <v>10.4510399466484</v>
      </c>
      <c r="I628" s="11" t="n">
        <f aca="false">_xlfn.MAXIFS(dados!$N$2:$N$1028,dados!$I$2:$I$1028,E628)</f>
        <v>6</v>
      </c>
      <c r="J628" s="3"/>
      <c r="K628" s="3"/>
    </row>
    <row r="629" customFormat="false" ht="15" hidden="false" customHeight="false" outlineLevel="0" collapsed="false">
      <c r="A629" s="2" t="s">
        <v>70</v>
      </c>
      <c r="B629" s="2" t="s">
        <v>706</v>
      </c>
      <c r="C629" s="2" t="n">
        <v>159</v>
      </c>
      <c r="D629" s="2" t="s">
        <v>37</v>
      </c>
      <c r="E629" s="2" t="s">
        <v>727</v>
      </c>
      <c r="F629" s="6" t="n">
        <f aca="false">COUNTIF(dados!$I$2:$I$1028,E629)</f>
        <v>1</v>
      </c>
      <c r="G629" s="10" t="n">
        <f aca="false">SUMIFS(dados!$M$2:$M$1028,dados!$I$2:$I$1028,E629)</f>
        <v>0.0114909868912348</v>
      </c>
      <c r="H629" s="7" t="n">
        <f aca="false">SQRT(G629*40000/PI())</f>
        <v>12.095775674984</v>
      </c>
      <c r="I629" s="11" t="n">
        <f aca="false">_xlfn.MAXIFS(dados!$N$2:$N$1028,dados!$I$2:$I$1028,E629)</f>
        <v>10</v>
      </c>
      <c r="J629" s="3"/>
      <c r="K629" s="3"/>
    </row>
    <row r="630" customFormat="false" ht="15" hidden="false" customHeight="false" outlineLevel="0" collapsed="false">
      <c r="A630" s="2" t="s">
        <v>70</v>
      </c>
      <c r="B630" s="2" t="s">
        <v>706</v>
      </c>
      <c r="C630" s="2" t="n">
        <v>160</v>
      </c>
      <c r="D630" s="2" t="s">
        <v>37</v>
      </c>
      <c r="E630" s="2" t="s">
        <v>728</v>
      </c>
      <c r="F630" s="6" t="n">
        <f aca="false">COUNTIF(dados!$I$2:$I$1028,E630)</f>
        <v>1</v>
      </c>
      <c r="G630" s="10" t="n">
        <f aca="false">SUMIFS(dados!$M$2:$M$1028,dados!$I$2:$I$1028,E630)</f>
        <v>0.00580119767569958</v>
      </c>
      <c r="H630" s="7" t="n">
        <f aca="false">SQRT(G630*40000/PI())</f>
        <v>8.59436692696235</v>
      </c>
      <c r="I630" s="11" t="n">
        <f aca="false">_xlfn.MAXIFS(dados!$N$2:$N$1028,dados!$I$2:$I$1028,E630)</f>
        <v>7</v>
      </c>
      <c r="J630" s="3"/>
      <c r="K630" s="3"/>
    </row>
    <row r="631" customFormat="false" ht="15" hidden="false" customHeight="false" outlineLevel="0" collapsed="false">
      <c r="A631" s="2" t="s">
        <v>70</v>
      </c>
      <c r="B631" s="2" t="s">
        <v>706</v>
      </c>
      <c r="C631" s="2" t="n">
        <v>161</v>
      </c>
      <c r="D631" s="2" t="s">
        <v>37</v>
      </c>
      <c r="E631" s="2" t="s">
        <v>729</v>
      </c>
      <c r="F631" s="6" t="n">
        <f aca="false">COUNTIF(dados!$I$2:$I$1028,E631)</f>
        <v>1</v>
      </c>
      <c r="G631" s="10" t="n">
        <f aca="false">SUMIFS(dados!$M$2:$M$1028,dados!$I$2:$I$1028,E631)</f>
        <v>0.00179049310978382</v>
      </c>
      <c r="H631" s="7" t="n">
        <f aca="false">SQRT(G631*40000/PI())</f>
        <v>4.77464829275686</v>
      </c>
      <c r="I631" s="11" t="n">
        <f aca="false">_xlfn.MAXIFS(dados!$N$2:$N$1028,dados!$I$2:$I$1028,E631)</f>
        <v>5</v>
      </c>
      <c r="J631" s="3"/>
      <c r="K631" s="3"/>
    </row>
    <row r="632" customFormat="false" ht="15" hidden="false" customHeight="false" outlineLevel="0" collapsed="false">
      <c r="A632" s="2" t="s">
        <v>70</v>
      </c>
      <c r="B632" s="2" t="s">
        <v>706</v>
      </c>
      <c r="C632" s="2" t="n">
        <v>162</v>
      </c>
      <c r="D632" s="2" t="s">
        <v>37</v>
      </c>
      <c r="E632" s="2" t="s">
        <v>730</v>
      </c>
      <c r="F632" s="6" t="n">
        <f aca="false">COUNTIF(dados!$I$2:$I$1028,E632)</f>
        <v>1</v>
      </c>
      <c r="G632" s="10" t="n">
        <f aca="false">SUMIFS(dados!$M$2:$M$1028,dados!$I$2:$I$1028,E632)</f>
        <v>0.00537943707650606</v>
      </c>
      <c r="H632" s="7" t="n">
        <f aca="false">SQRT(G632*40000/PI())</f>
        <v>8.27605704077856</v>
      </c>
      <c r="I632" s="11" t="n">
        <f aca="false">_xlfn.MAXIFS(dados!$N$2:$N$1028,dados!$I$2:$I$1028,E632)</f>
        <v>7</v>
      </c>
      <c r="J632" s="3"/>
      <c r="K632" s="3"/>
    </row>
    <row r="633" customFormat="false" ht="15" hidden="false" customHeight="false" outlineLevel="0" collapsed="false">
      <c r="A633" s="2" t="s">
        <v>70</v>
      </c>
      <c r="B633" s="2" t="s">
        <v>706</v>
      </c>
      <c r="C633" s="2" t="n">
        <v>163</v>
      </c>
      <c r="D633" s="2" t="s">
        <v>37</v>
      </c>
      <c r="E633" s="2" t="s">
        <v>731</v>
      </c>
      <c r="F633" s="6" t="n">
        <f aca="false">COUNTIF(dados!$I$2:$I$1028,E633)</f>
        <v>1</v>
      </c>
      <c r="G633" s="10" t="n">
        <f aca="false">SUMIFS(dados!$M$2:$M$1028,dados!$I$2:$I$1028,E633)</f>
        <v>0.0114909868912348</v>
      </c>
      <c r="H633" s="7" t="n">
        <f aca="false">SQRT(G633*40000/PI())</f>
        <v>12.095775674984</v>
      </c>
      <c r="I633" s="11" t="n">
        <f aca="false">_xlfn.MAXIFS(dados!$N$2:$N$1028,dados!$I$2:$I$1028,E633)</f>
        <v>9</v>
      </c>
      <c r="J633" s="3"/>
      <c r="K633" s="3"/>
    </row>
    <row r="634" customFormat="false" ht="15" hidden="false" customHeight="false" outlineLevel="0" collapsed="false">
      <c r="A634" s="2" t="s">
        <v>70</v>
      </c>
      <c r="B634" s="2" t="s">
        <v>706</v>
      </c>
      <c r="C634" s="2" t="n">
        <v>164</v>
      </c>
      <c r="D634" s="2" t="s">
        <v>71</v>
      </c>
      <c r="E634" s="2" t="s">
        <v>732</v>
      </c>
      <c r="F634" s="6" t="n">
        <f aca="false">COUNTIF(dados!$I$2:$I$1028,E634)</f>
        <v>3</v>
      </c>
      <c r="G634" s="10" t="n">
        <f aca="false">SUMIFS(dados!$M$2:$M$1028,dados!$I$2:$I$1028,E634)</f>
        <v>0.0159473252978079</v>
      </c>
      <c r="H634" s="7" t="n">
        <f aca="false">SQRT(G634*40000/PI())</f>
        <v>14.2494790086952</v>
      </c>
      <c r="I634" s="11" t="n">
        <f aca="false">_xlfn.MAXIFS(dados!$N$2:$N$1028,dados!$I$2:$I$1028,E634)</f>
        <v>6</v>
      </c>
      <c r="J634" s="3"/>
      <c r="K634" s="3"/>
    </row>
    <row r="635" customFormat="false" ht="15" hidden="false" customHeight="false" outlineLevel="0" collapsed="false">
      <c r="A635" s="2" t="s">
        <v>70</v>
      </c>
      <c r="B635" s="2" t="s">
        <v>706</v>
      </c>
      <c r="C635" s="2" t="n">
        <v>165</v>
      </c>
      <c r="D635" s="2" t="s">
        <v>37</v>
      </c>
      <c r="E635" s="2" t="s">
        <v>733</v>
      </c>
      <c r="F635" s="6" t="n">
        <f aca="false">COUNTIF(dados!$I$2:$I$1028,E635)</f>
        <v>1</v>
      </c>
      <c r="G635" s="10" t="n">
        <f aca="false">SUMIFS(dados!$M$2:$M$1028,dados!$I$2:$I$1028,E635)</f>
        <v>0.0086659866513537</v>
      </c>
      <c r="H635" s="7" t="n">
        <f aca="false">SQRT(G635*40000/PI())</f>
        <v>10.5042262440651</v>
      </c>
      <c r="I635" s="11" t="n">
        <f aca="false">_xlfn.MAXIFS(dados!$N$2:$N$1028,dados!$I$2:$I$1028,E635)</f>
        <v>7</v>
      </c>
      <c r="J635" s="3"/>
      <c r="K635" s="3"/>
    </row>
    <row r="636" customFormat="false" ht="15" hidden="false" customHeight="false" outlineLevel="0" collapsed="false">
      <c r="A636" s="2" t="s">
        <v>70</v>
      </c>
      <c r="B636" s="2" t="s">
        <v>706</v>
      </c>
      <c r="C636" s="2" t="n">
        <v>166</v>
      </c>
      <c r="D636" s="2" t="s">
        <v>37</v>
      </c>
      <c r="E636" s="2" t="s">
        <v>734</v>
      </c>
      <c r="F636" s="6" t="n">
        <f aca="false">COUNTIF(dados!$I$2:$I$1028,E636)</f>
        <v>1</v>
      </c>
      <c r="G636" s="10" t="n">
        <f aca="false">SUMIFS(dados!$M$2:$M$1028,dados!$I$2:$I$1028,E636)</f>
        <v>0.00716197243913529</v>
      </c>
      <c r="H636" s="7" t="n">
        <f aca="false">SQRT(G636*40000/PI())</f>
        <v>9.54929658551372</v>
      </c>
      <c r="I636" s="11" t="n">
        <f aca="false">_xlfn.MAXIFS(dados!$N$2:$N$1028,dados!$I$2:$I$1028,E636)</f>
        <v>7</v>
      </c>
      <c r="J636" s="3"/>
      <c r="K636" s="3"/>
    </row>
    <row r="637" customFormat="false" ht="15" hidden="false" customHeight="false" outlineLevel="0" collapsed="false">
      <c r="A637" s="2" t="s">
        <v>70</v>
      </c>
      <c r="B637" s="2" t="s">
        <v>706</v>
      </c>
      <c r="C637" s="2" t="n">
        <v>167</v>
      </c>
      <c r="D637" s="2" t="s">
        <v>37</v>
      </c>
      <c r="E637" s="2" t="s">
        <v>735</v>
      </c>
      <c r="F637" s="6" t="n">
        <f aca="false">COUNTIF(dados!$I$2:$I$1028,E637)</f>
        <v>1</v>
      </c>
      <c r="G637" s="10" t="n">
        <f aca="false">SUMIFS(dados!$M$2:$M$1028,dados!$I$2:$I$1028,E637)</f>
        <v>0.0066924653570142</v>
      </c>
      <c r="H637" s="7" t="n">
        <f aca="false">SQRT(G637*40000/PI())</f>
        <v>9.23098669932993</v>
      </c>
      <c r="I637" s="11" t="n">
        <f aca="false">_xlfn.MAXIFS(dados!$N$2:$N$1028,dados!$I$2:$I$1028,E637)</f>
        <v>8</v>
      </c>
      <c r="J637" s="3"/>
      <c r="K637" s="3"/>
    </row>
    <row r="638" customFormat="false" ht="15" hidden="false" customHeight="false" outlineLevel="0" collapsed="false">
      <c r="A638" s="2" t="s">
        <v>70</v>
      </c>
      <c r="B638" s="2" t="s">
        <v>706</v>
      </c>
      <c r="C638" s="2" t="n">
        <v>168</v>
      </c>
      <c r="D638" s="2" t="s">
        <v>37</v>
      </c>
      <c r="E638" s="2" t="s">
        <v>736</v>
      </c>
      <c r="F638" s="6" t="n">
        <f aca="false">COUNTIF(dados!$I$2:$I$1028,E638)</f>
        <v>1</v>
      </c>
      <c r="G638" s="10" t="n">
        <f aca="false">SUMIFS(dados!$M$2:$M$1028,dados!$I$2:$I$1028,E638)</f>
        <v>0.0025783100780887</v>
      </c>
      <c r="H638" s="7" t="n">
        <f aca="false">SQRT(G638*40000/PI())</f>
        <v>5.72957795130823</v>
      </c>
      <c r="I638" s="11" t="n">
        <f aca="false">_xlfn.MAXIFS(dados!$N$2:$N$1028,dados!$I$2:$I$1028,E638)</f>
        <v>5</v>
      </c>
      <c r="J638" s="3"/>
      <c r="K638" s="3"/>
    </row>
    <row r="639" customFormat="false" ht="15" hidden="false" customHeight="false" outlineLevel="0" collapsed="false">
      <c r="A639" s="2" t="s">
        <v>70</v>
      </c>
      <c r="B639" s="2" t="s">
        <v>706</v>
      </c>
      <c r="C639" s="2" t="n">
        <v>169</v>
      </c>
      <c r="D639" s="2" t="s">
        <v>71</v>
      </c>
      <c r="E639" s="2" t="s">
        <v>737</v>
      </c>
      <c r="F639" s="6" t="n">
        <f aca="false">COUNTIF(dados!$I$2:$I$1028,E639)</f>
        <v>1</v>
      </c>
      <c r="G639" s="10" t="n">
        <f aca="false">SUMIFS(dados!$M$2:$M$1028,dados!$I$2:$I$1028,E639)</f>
        <v>0.00203718327157626</v>
      </c>
      <c r="H639" s="7" t="n">
        <f aca="false">SQRT(G639*40000/PI())</f>
        <v>5.09295817894065</v>
      </c>
      <c r="I639" s="11" t="n">
        <f aca="false">_xlfn.MAXIFS(dados!$N$2:$N$1028,dados!$I$2:$I$1028,E639)</f>
        <v>2</v>
      </c>
      <c r="J639" s="3"/>
      <c r="K639" s="3"/>
    </row>
    <row r="640" customFormat="false" ht="15" hidden="false" customHeight="false" outlineLevel="0" collapsed="false">
      <c r="A640" s="2" t="s">
        <v>70</v>
      </c>
      <c r="B640" s="2" t="s">
        <v>706</v>
      </c>
      <c r="C640" s="2" t="n">
        <v>170</v>
      </c>
      <c r="D640" s="2" t="s">
        <v>37</v>
      </c>
      <c r="E640" s="2" t="s">
        <v>738</v>
      </c>
      <c r="F640" s="6" t="n">
        <f aca="false">COUNTIF(dados!$I$2:$I$1028,E640)</f>
        <v>1</v>
      </c>
      <c r="G640" s="10" t="n">
        <f aca="false">SUMIFS(dados!$M$2:$M$1028,dados!$I$2:$I$1028,E640)</f>
        <v>0.00287274672280871</v>
      </c>
      <c r="H640" s="7" t="n">
        <f aca="false">SQRT(G640*40000/PI())</f>
        <v>6.04788783749202</v>
      </c>
      <c r="I640" s="11" t="n">
        <f aca="false">_xlfn.MAXIFS(dados!$N$2:$N$1028,dados!$I$2:$I$1028,E640)</f>
        <v>9</v>
      </c>
      <c r="J640" s="3"/>
      <c r="K640" s="3"/>
    </row>
    <row r="641" customFormat="false" ht="15" hidden="false" customHeight="false" outlineLevel="0" collapsed="false">
      <c r="A641" s="2" t="s">
        <v>70</v>
      </c>
      <c r="B641" s="2" t="s">
        <v>706</v>
      </c>
      <c r="C641" s="2" t="n">
        <v>171</v>
      </c>
      <c r="D641" s="2" t="s">
        <v>37</v>
      </c>
      <c r="E641" s="2" t="s">
        <v>739</v>
      </c>
      <c r="F641" s="6" t="n">
        <f aca="false">COUNTIF(dados!$I$2:$I$1028,E641)</f>
        <v>1</v>
      </c>
      <c r="G641" s="10" t="n">
        <f aca="false">SUMIFS(dados!$M$2:$M$1028,dados!$I$2:$I$1028,E641)</f>
        <v>0.0114909868912348</v>
      </c>
      <c r="H641" s="7" t="n">
        <f aca="false">SQRT(G641*40000/PI())</f>
        <v>12.095775674984</v>
      </c>
      <c r="I641" s="11" t="n">
        <f aca="false">_xlfn.MAXIFS(dados!$N$2:$N$1028,dados!$I$2:$I$1028,E641)</f>
        <v>10</v>
      </c>
      <c r="J641" s="3"/>
      <c r="K641" s="3"/>
    </row>
    <row r="642" customFormat="false" ht="15" hidden="false" customHeight="false" outlineLevel="0" collapsed="false">
      <c r="A642" s="2" t="s">
        <v>70</v>
      </c>
      <c r="B642" s="2" t="s">
        <v>706</v>
      </c>
      <c r="C642" s="2" t="n">
        <v>172</v>
      </c>
      <c r="D642" s="2" t="s">
        <v>71</v>
      </c>
      <c r="E642" s="2" t="s">
        <v>740</v>
      </c>
      <c r="F642" s="6" t="n">
        <f aca="false">COUNTIF(dados!$I$2:$I$1028,E642)</f>
        <v>1</v>
      </c>
      <c r="G642" s="10" t="n">
        <f aca="false">SUMIFS(dados!$M$2:$M$1028,dados!$I$2:$I$1028,E642)</f>
        <v>0.00716197243913529</v>
      </c>
      <c r="H642" s="7" t="n">
        <f aca="false">SQRT(G642*40000/PI())</f>
        <v>9.54929658551372</v>
      </c>
      <c r="I642" s="11" t="n">
        <f aca="false">_xlfn.MAXIFS(dados!$N$2:$N$1028,dados!$I$2:$I$1028,E642)</f>
        <v>5</v>
      </c>
      <c r="J642" s="3"/>
      <c r="K642" s="3"/>
    </row>
    <row r="643" customFormat="false" ht="15" hidden="false" customHeight="false" outlineLevel="0" collapsed="false">
      <c r="A643" s="2" t="s">
        <v>70</v>
      </c>
      <c r="B643" s="2" t="s">
        <v>706</v>
      </c>
      <c r="C643" s="2" t="n">
        <v>173</v>
      </c>
      <c r="D643" s="2" t="s">
        <v>37</v>
      </c>
      <c r="E643" s="2" t="s">
        <v>741</v>
      </c>
      <c r="F643" s="6" t="n">
        <f aca="false">COUNTIF(dados!$I$2:$I$1028,E643)</f>
        <v>1</v>
      </c>
      <c r="G643" s="10" t="n">
        <f aca="false">SUMIFS(dados!$M$2:$M$1028,dados!$I$2:$I$1028,E643)</f>
        <v>0.00716197243913529</v>
      </c>
      <c r="H643" s="7" t="n">
        <f aca="false">SQRT(G643*40000/PI())</f>
        <v>9.54929658551372</v>
      </c>
      <c r="I643" s="11" t="n">
        <f aca="false">_xlfn.MAXIFS(dados!$N$2:$N$1028,dados!$I$2:$I$1028,E643)</f>
        <v>9</v>
      </c>
      <c r="J643" s="3"/>
      <c r="K643" s="3"/>
    </row>
    <row r="644" customFormat="false" ht="15" hidden="false" customHeight="false" outlineLevel="0" collapsed="false">
      <c r="A644" s="2" t="s">
        <v>70</v>
      </c>
      <c r="B644" s="2" t="s">
        <v>706</v>
      </c>
      <c r="C644" s="2" t="n">
        <v>174</v>
      </c>
      <c r="D644" s="2" t="s">
        <v>71</v>
      </c>
      <c r="E644" s="2" t="s">
        <v>742</v>
      </c>
      <c r="F644" s="6" t="n">
        <f aca="false">COUNTIF(dados!$I$2:$I$1028,E644)</f>
        <v>4</v>
      </c>
      <c r="G644" s="10" t="n">
        <f aca="false">SUMIFS(dados!$M$2:$M$1028,dados!$I$2:$I$1028,E644)</f>
        <v>0.01099760656765</v>
      </c>
      <c r="H644" s="7" t="n">
        <f aca="false">SQRT(G644*40000/PI())</f>
        <v>11.8332529675365</v>
      </c>
      <c r="I644" s="11" t="n">
        <f aca="false">_xlfn.MAXIFS(dados!$N$2:$N$1028,dados!$I$2:$I$1028,E644)</f>
        <v>5</v>
      </c>
      <c r="J644" s="3"/>
      <c r="K644" s="3"/>
    </row>
    <row r="645" customFormat="false" ht="15" hidden="false" customHeight="false" outlineLevel="0" collapsed="false">
      <c r="A645" s="2" t="s">
        <v>70</v>
      </c>
      <c r="B645" s="2" t="s">
        <v>706</v>
      </c>
      <c r="C645" s="2" t="n">
        <v>175</v>
      </c>
      <c r="D645" s="2" t="s">
        <v>37</v>
      </c>
      <c r="E645" s="2" t="s">
        <v>743</v>
      </c>
      <c r="F645" s="6" t="n">
        <f aca="false">COUNTIF(dados!$I$2:$I$1028,E645)</f>
        <v>1</v>
      </c>
      <c r="G645" s="10" t="n">
        <f aca="false">SUMIFS(dados!$M$2:$M$1028,dados!$I$2:$I$1028,E645)</f>
        <v>0.00919915571071155</v>
      </c>
      <c r="H645" s="7" t="n">
        <f aca="false">SQRT(G645*40000/PI())</f>
        <v>10.8225361302489</v>
      </c>
      <c r="I645" s="11" t="n">
        <f aca="false">_xlfn.MAXIFS(dados!$N$2:$N$1028,dados!$I$2:$I$1028,E645)</f>
        <v>12</v>
      </c>
      <c r="J645" s="3"/>
      <c r="K645" s="3"/>
    </row>
    <row r="646" customFormat="false" ht="15" hidden="false" customHeight="false" outlineLevel="0" collapsed="false">
      <c r="A646" s="2" t="s">
        <v>70</v>
      </c>
      <c r="B646" s="2" t="s">
        <v>706</v>
      </c>
      <c r="C646" s="2" t="n">
        <v>176</v>
      </c>
      <c r="D646" s="2" t="s">
        <v>37</v>
      </c>
      <c r="E646" s="2" t="s">
        <v>744</v>
      </c>
      <c r="F646" s="6" t="n">
        <f aca="false">COUNTIF(dados!$I$2:$I$1028,E646)</f>
        <v>1</v>
      </c>
      <c r="G646" s="10" t="n">
        <f aca="false">SUMIFS(dados!$M$2:$M$1028,dados!$I$2:$I$1028,E646)</f>
        <v>0.00919915571071155</v>
      </c>
      <c r="H646" s="7" t="n">
        <f aca="false">SQRT(G646*40000/PI())</f>
        <v>10.8225361302489</v>
      </c>
      <c r="I646" s="11" t="n">
        <f aca="false">_xlfn.MAXIFS(dados!$N$2:$N$1028,dados!$I$2:$I$1028,E646)</f>
        <v>10</v>
      </c>
      <c r="J646" s="3"/>
      <c r="K646" s="3"/>
    </row>
    <row r="647" customFormat="false" ht="15" hidden="false" customHeight="false" outlineLevel="0" collapsed="false">
      <c r="A647" s="2" t="s">
        <v>70</v>
      </c>
      <c r="B647" s="2" t="s">
        <v>706</v>
      </c>
      <c r="C647" s="2" t="n">
        <v>177</v>
      </c>
      <c r="D647" s="2" t="s">
        <v>37</v>
      </c>
      <c r="E647" s="2" t="s">
        <v>745</v>
      </c>
      <c r="F647" s="6" t="n">
        <f aca="false">COUNTIF(dados!$I$2:$I$1028,E647)</f>
        <v>1</v>
      </c>
      <c r="G647" s="10" t="n">
        <f aca="false">SUMIFS(dados!$M$2:$M$1028,dados!$I$2:$I$1028,E647)</f>
        <v>0.00318309886183791</v>
      </c>
      <c r="H647" s="7" t="n">
        <f aca="false">SQRT(G647*40000/PI())</f>
        <v>6.36619772367581</v>
      </c>
      <c r="I647" s="11" t="n">
        <f aca="false">_xlfn.MAXIFS(dados!$N$2:$N$1028,dados!$I$2:$I$1028,E647)</f>
        <v>8</v>
      </c>
      <c r="J647" s="3"/>
      <c r="K647" s="3"/>
    </row>
    <row r="648" customFormat="false" ht="15" hidden="false" customHeight="false" outlineLevel="0" collapsed="false">
      <c r="A648" s="2" t="s">
        <v>70</v>
      </c>
      <c r="B648" s="2" t="s">
        <v>706</v>
      </c>
      <c r="C648" s="2" t="n">
        <v>178</v>
      </c>
      <c r="D648" s="2" t="s">
        <v>37</v>
      </c>
      <c r="E648" s="2" t="s">
        <v>746</v>
      </c>
      <c r="F648" s="6" t="n">
        <f aca="false">COUNTIF(dados!$I$2:$I$1028,E648)</f>
        <v>1</v>
      </c>
      <c r="G648" s="10" t="n">
        <f aca="false">SUMIFS(dados!$M$2:$M$1028,dados!$I$2:$I$1028,E648)</f>
        <v>0.0086659866513537</v>
      </c>
      <c r="H648" s="7" t="n">
        <f aca="false">SQRT(G648*40000/PI())</f>
        <v>10.5042262440651</v>
      </c>
      <c r="I648" s="11" t="n">
        <f aca="false">_xlfn.MAXIFS(dados!$N$2:$N$1028,dados!$I$2:$I$1028,E648)</f>
        <v>10</v>
      </c>
      <c r="J648" s="3"/>
      <c r="K648" s="3"/>
    </row>
    <row r="649" customFormat="false" ht="15" hidden="false" customHeight="false" outlineLevel="0" collapsed="false">
      <c r="A649" s="2" t="s">
        <v>70</v>
      </c>
      <c r="B649" s="2" t="s">
        <v>706</v>
      </c>
      <c r="C649" s="2" t="n">
        <v>179</v>
      </c>
      <c r="D649" s="2" t="s">
        <v>37</v>
      </c>
      <c r="E649" s="2" t="s">
        <v>747</v>
      </c>
      <c r="F649" s="6" t="n">
        <f aca="false">COUNTIF(dados!$I$2:$I$1028,E649)</f>
        <v>1</v>
      </c>
      <c r="G649" s="10" t="n">
        <f aca="false">SUMIFS(dados!$M$2:$M$1028,dados!$I$2:$I$1028,E649)</f>
        <v>0.00580119767569958</v>
      </c>
      <c r="H649" s="7" t="n">
        <f aca="false">SQRT(G649*40000/PI())</f>
        <v>8.59436692696235</v>
      </c>
      <c r="I649" s="11" t="n">
        <f aca="false">_xlfn.MAXIFS(dados!$N$2:$N$1028,dados!$I$2:$I$1028,E649)</f>
        <v>8</v>
      </c>
      <c r="J649" s="3"/>
      <c r="K649" s="3"/>
    </row>
    <row r="650" customFormat="false" ht="15" hidden="false" customHeight="false" outlineLevel="0" collapsed="false">
      <c r="A650" s="2" t="s">
        <v>70</v>
      </c>
      <c r="B650" s="2" t="s">
        <v>706</v>
      </c>
      <c r="C650" s="2" t="n">
        <v>180</v>
      </c>
      <c r="D650" s="2" t="s">
        <v>71</v>
      </c>
      <c r="E650" s="2" t="s">
        <v>748</v>
      </c>
      <c r="F650" s="6" t="n">
        <f aca="false">COUNTIF(dados!$I$2:$I$1028,E650)</f>
        <v>1</v>
      </c>
      <c r="G650" s="10" t="n">
        <f aca="false">SUMIFS(dados!$M$2:$M$1028,dados!$I$2:$I$1028,E650)</f>
        <v>0.00814873308630504</v>
      </c>
      <c r="H650" s="7" t="n">
        <f aca="false">SQRT(G650*40000/PI())</f>
        <v>10.1859163578813</v>
      </c>
      <c r="I650" s="11" t="n">
        <f aca="false">_xlfn.MAXIFS(dados!$N$2:$N$1028,dados!$I$2:$I$1028,E650)</f>
        <v>5</v>
      </c>
      <c r="J650" s="3"/>
      <c r="K650" s="3"/>
    </row>
    <row r="651" customFormat="false" ht="15" hidden="false" customHeight="false" outlineLevel="0" collapsed="false">
      <c r="A651" s="2" t="s">
        <v>70</v>
      </c>
      <c r="B651" s="2" t="s">
        <v>706</v>
      </c>
      <c r="C651" s="2" t="n">
        <v>181</v>
      </c>
      <c r="D651" s="2" t="s">
        <v>71</v>
      </c>
      <c r="E651" s="2" t="s">
        <v>749</v>
      </c>
      <c r="F651" s="6" t="n">
        <f aca="false">COUNTIF(dados!$I$2:$I$1028,E651)</f>
        <v>1</v>
      </c>
      <c r="G651" s="10" t="n">
        <f aca="false">SUMIFS(dados!$M$2:$M$1028,dados!$I$2:$I$1028,E651)</f>
        <v>0.00420964824478063</v>
      </c>
      <c r="H651" s="7" t="n">
        <f aca="false">SQRT(G651*40000/PI())</f>
        <v>7.32112738222719</v>
      </c>
      <c r="I651" s="11" t="n">
        <f aca="false">_xlfn.MAXIFS(dados!$N$2:$N$1028,dados!$I$2:$I$1028,E651)</f>
        <v>7</v>
      </c>
      <c r="J651" s="3"/>
      <c r="K651" s="3"/>
    </row>
    <row r="652" customFormat="false" ht="15" hidden="false" customHeight="false" outlineLevel="0" collapsed="false">
      <c r="A652" s="2" t="s">
        <v>70</v>
      </c>
      <c r="B652" s="2" t="s">
        <v>706</v>
      </c>
      <c r="C652" s="2" t="n">
        <v>182</v>
      </c>
      <c r="D652" s="2" t="s">
        <v>71</v>
      </c>
      <c r="E652" s="2" t="s">
        <v>750</v>
      </c>
      <c r="F652" s="6" t="n">
        <f aca="false">COUNTIF(dados!$I$2:$I$1028,E652)</f>
        <v>1</v>
      </c>
      <c r="G652" s="10" t="n">
        <f aca="false">SUMIFS(dados!$M$2:$M$1028,dados!$I$2:$I$1028,E652)</f>
        <v>0.00203718327157626</v>
      </c>
      <c r="H652" s="7" t="n">
        <f aca="false">SQRT(G652*40000/PI())</f>
        <v>5.09295817894065</v>
      </c>
      <c r="I652" s="11" t="n">
        <f aca="false">_xlfn.MAXIFS(dados!$N$2:$N$1028,dados!$I$2:$I$1028,E652)</f>
        <v>3</v>
      </c>
      <c r="J652" s="3"/>
      <c r="K652" s="3"/>
    </row>
    <row r="653" customFormat="false" ht="15" hidden="false" customHeight="false" outlineLevel="0" collapsed="false">
      <c r="A653" s="2" t="s">
        <v>70</v>
      </c>
      <c r="B653" s="2" t="s">
        <v>706</v>
      </c>
      <c r="C653" s="2" t="n">
        <v>183</v>
      </c>
      <c r="D653" s="2" t="s">
        <v>71</v>
      </c>
      <c r="E653" s="2" t="s">
        <v>751</v>
      </c>
      <c r="F653" s="6" t="n">
        <f aca="false">COUNTIF(dados!$I$2:$I$1028,E653)</f>
        <v>1</v>
      </c>
      <c r="G653" s="10" t="n">
        <f aca="false">SUMIFS(dados!$M$2:$M$1028,dados!$I$2:$I$1028,E653)</f>
        <v>0.00814873308630504</v>
      </c>
      <c r="H653" s="7" t="n">
        <f aca="false">SQRT(G653*40000/PI())</f>
        <v>10.1859163578813</v>
      </c>
      <c r="I653" s="11" t="n">
        <f aca="false">_xlfn.MAXIFS(dados!$N$2:$N$1028,dados!$I$2:$I$1028,E653)</f>
        <v>2</v>
      </c>
      <c r="J653" s="3"/>
      <c r="K653" s="3"/>
    </row>
    <row r="654" customFormat="false" ht="15" hidden="false" customHeight="false" outlineLevel="0" collapsed="false">
      <c r="A654" s="2" t="s">
        <v>70</v>
      </c>
      <c r="B654" s="2" t="s">
        <v>706</v>
      </c>
      <c r="C654" s="2" t="n">
        <v>184</v>
      </c>
      <c r="D654" s="2" t="s">
        <v>71</v>
      </c>
      <c r="E654" s="2" t="s">
        <v>752</v>
      </c>
      <c r="F654" s="6" t="n">
        <f aca="false">COUNTIF(dados!$I$2:$I$1028,E654)</f>
        <v>1</v>
      </c>
      <c r="G654" s="10" t="n">
        <f aca="false">SUMIFS(dados!$M$2:$M$1028,dados!$I$2:$I$1028,E654)</f>
        <v>0.00179049310978382</v>
      </c>
      <c r="H654" s="7" t="n">
        <f aca="false">SQRT(G654*40000/PI())</f>
        <v>4.77464829275686</v>
      </c>
      <c r="I654" s="11" t="n">
        <f aca="false">_xlfn.MAXIFS(dados!$N$2:$N$1028,dados!$I$2:$I$1028,E654)</f>
        <v>3</v>
      </c>
      <c r="J654" s="3"/>
      <c r="K654" s="3"/>
    </row>
    <row r="655" customFormat="false" ht="15" hidden="false" customHeight="false" outlineLevel="0" collapsed="false">
      <c r="A655" s="2" t="s">
        <v>70</v>
      </c>
      <c r="B655" s="2" t="s">
        <v>706</v>
      </c>
      <c r="C655" s="2" t="n">
        <v>185</v>
      </c>
      <c r="D655" s="2" t="s">
        <v>71</v>
      </c>
      <c r="E655" s="2" t="s">
        <v>753</v>
      </c>
      <c r="F655" s="6" t="n">
        <f aca="false">COUNTIF(dados!$I$2:$I$1028,E655)</f>
        <v>2</v>
      </c>
      <c r="G655" s="10" t="n">
        <f aca="false">SUMIFS(dados!$M$2:$M$1028,dados!$I$2:$I$1028,E655)</f>
        <v>0.0059364793773277</v>
      </c>
      <c r="H655" s="7" t="n">
        <f aca="false">SQRT(G655*40000/PI())</f>
        <v>8.69399810197725</v>
      </c>
      <c r="I655" s="11" t="n">
        <f aca="false">_xlfn.MAXIFS(dados!$N$2:$N$1028,dados!$I$2:$I$1028,E655)</f>
        <v>7</v>
      </c>
      <c r="J655" s="3"/>
      <c r="K655" s="3"/>
    </row>
    <row r="656" customFormat="false" ht="15" hidden="false" customHeight="false" outlineLevel="0" collapsed="false">
      <c r="A656" s="2" t="s">
        <v>70</v>
      </c>
      <c r="B656" s="2" t="s">
        <v>706</v>
      </c>
      <c r="C656" s="2" t="n">
        <v>186</v>
      </c>
      <c r="D656" s="2" t="s">
        <v>37</v>
      </c>
      <c r="E656" s="2" t="s">
        <v>754</v>
      </c>
      <c r="F656" s="6" t="n">
        <f aca="false">COUNTIF(dados!$I$2:$I$1028,E656)</f>
        <v>1</v>
      </c>
      <c r="G656" s="10" t="n">
        <f aca="false">SUMIFS(dados!$M$2:$M$1028,dados!$I$2:$I$1028,E656)</f>
        <v>0.00420964824478063</v>
      </c>
      <c r="H656" s="7" t="n">
        <f aca="false">SQRT(G656*40000/PI())</f>
        <v>7.32112738222719</v>
      </c>
      <c r="I656" s="11" t="n">
        <f aca="false">_xlfn.MAXIFS(dados!$N$2:$N$1028,dados!$I$2:$I$1028,E656)</f>
        <v>3</v>
      </c>
      <c r="J656" s="3"/>
      <c r="K656" s="3"/>
    </row>
    <row r="657" customFormat="false" ht="15" hidden="false" customHeight="false" outlineLevel="0" collapsed="false">
      <c r="A657" s="2" t="s">
        <v>70</v>
      </c>
      <c r="B657" s="2" t="s">
        <v>706</v>
      </c>
      <c r="C657" s="2" t="n">
        <v>187</v>
      </c>
      <c r="D657" s="2" t="s">
        <v>37</v>
      </c>
      <c r="E657" s="2" t="s">
        <v>755</v>
      </c>
      <c r="F657" s="6" t="n">
        <f aca="false">COUNTIF(dados!$I$2:$I$1028,E657)</f>
        <v>1</v>
      </c>
      <c r="G657" s="10" t="n">
        <f aca="false">SUMIFS(dados!$M$2:$M$1028,dados!$I$2:$I$1028,E657)</f>
        <v>0.00580119767569958</v>
      </c>
      <c r="H657" s="7" t="n">
        <f aca="false">SQRT(G657*40000/PI())</f>
        <v>8.59436692696235</v>
      </c>
      <c r="I657" s="11" t="n">
        <f aca="false">_xlfn.MAXIFS(dados!$N$2:$N$1028,dados!$I$2:$I$1028,E657)</f>
        <v>5</v>
      </c>
      <c r="J657" s="3"/>
      <c r="K657" s="3"/>
    </row>
    <row r="658" customFormat="false" ht="15" hidden="false" customHeight="false" outlineLevel="0" collapsed="false">
      <c r="A658" s="2" t="s">
        <v>70</v>
      </c>
      <c r="B658" s="2" t="s">
        <v>706</v>
      </c>
      <c r="C658" s="2" t="n">
        <v>188</v>
      </c>
      <c r="D658" s="2" t="s">
        <v>37</v>
      </c>
      <c r="E658" s="2" t="s">
        <v>756</v>
      </c>
      <c r="F658" s="6" t="n">
        <f aca="false">COUNTIF(dados!$I$2:$I$1028,E658)</f>
        <v>1</v>
      </c>
      <c r="G658" s="10" t="n">
        <f aca="false">SUMIFS(dados!$M$2:$M$1028,dados!$I$2:$I$1028,E658)</f>
        <v>0.00385154962282387</v>
      </c>
      <c r="H658" s="7" t="n">
        <f aca="false">SQRT(G658*40000/PI())</f>
        <v>7.0028174960434</v>
      </c>
      <c r="I658" s="11" t="n">
        <f aca="false">_xlfn.MAXIFS(dados!$N$2:$N$1028,dados!$I$2:$I$1028,E658)</f>
        <v>4</v>
      </c>
      <c r="J658" s="3"/>
      <c r="K658" s="3"/>
    </row>
    <row r="659" customFormat="false" ht="15" hidden="false" customHeight="false" outlineLevel="0" collapsed="false">
      <c r="A659" s="2" t="s">
        <v>70</v>
      </c>
      <c r="B659" s="2" t="s">
        <v>706</v>
      </c>
      <c r="C659" s="2" t="n">
        <v>189</v>
      </c>
      <c r="D659" s="2" t="s">
        <v>71</v>
      </c>
      <c r="E659" s="2" t="s">
        <v>757</v>
      </c>
      <c r="F659" s="6" t="n">
        <f aca="false">COUNTIF(dados!$I$2:$I$1028,E659)</f>
        <v>1</v>
      </c>
      <c r="G659" s="10" t="n">
        <f aca="false">SUMIFS(dados!$M$2:$M$1028,dados!$I$2:$I$1028,E659)</f>
        <v>0.00203718327157626</v>
      </c>
      <c r="H659" s="7" t="n">
        <f aca="false">SQRT(G659*40000/PI())</f>
        <v>5.09295817894065</v>
      </c>
      <c r="I659" s="11" t="n">
        <f aca="false">_xlfn.MAXIFS(dados!$N$2:$N$1028,dados!$I$2:$I$1028,E659)</f>
        <v>4</v>
      </c>
      <c r="J659" s="3"/>
      <c r="K659" s="3"/>
    </row>
    <row r="660" customFormat="false" ht="15" hidden="false" customHeight="false" outlineLevel="0" collapsed="false">
      <c r="A660" s="2" t="s">
        <v>70</v>
      </c>
      <c r="B660" s="2" t="s">
        <v>706</v>
      </c>
      <c r="C660" s="2" t="n">
        <v>190</v>
      </c>
      <c r="D660" s="2" t="s">
        <v>71</v>
      </c>
      <c r="E660" s="2" t="s">
        <v>758</v>
      </c>
      <c r="F660" s="6" t="n">
        <f aca="false">COUNTIF(dados!$I$2:$I$1028,E660)</f>
        <v>1</v>
      </c>
      <c r="G660" s="10" t="n">
        <f aca="false">SUMIFS(dados!$M$2:$M$1028,dados!$I$2:$I$1028,E660)</f>
        <v>0.00179049310978382</v>
      </c>
      <c r="H660" s="7" t="n">
        <f aca="false">SQRT(G660*40000/PI())</f>
        <v>4.77464829275686</v>
      </c>
      <c r="I660" s="11" t="n">
        <f aca="false">_xlfn.MAXIFS(dados!$N$2:$N$1028,dados!$I$2:$I$1028,E660)</f>
        <v>4</v>
      </c>
      <c r="J660" s="3"/>
      <c r="K660" s="3"/>
    </row>
    <row r="661" customFormat="false" ht="15" hidden="false" customHeight="false" outlineLevel="0" collapsed="false">
      <c r="A661" s="2" t="s">
        <v>70</v>
      </c>
      <c r="B661" s="2" t="s">
        <v>706</v>
      </c>
      <c r="C661" s="2" t="n">
        <v>191</v>
      </c>
      <c r="D661" s="2" t="s">
        <v>71</v>
      </c>
      <c r="E661" s="2" t="s">
        <v>759</v>
      </c>
      <c r="F661" s="6" t="n">
        <f aca="false">COUNTIF(dados!$I$2:$I$1028,E661)</f>
        <v>1</v>
      </c>
      <c r="G661" s="10" t="n">
        <f aca="false">SUMIFS(dados!$M$2:$M$1028,dados!$I$2:$I$1028,E661)</f>
        <v>0.00287274672280871</v>
      </c>
      <c r="H661" s="7" t="n">
        <f aca="false">SQRT(G661*40000/PI())</f>
        <v>6.04788783749202</v>
      </c>
      <c r="I661" s="11" t="n">
        <f aca="false">_xlfn.MAXIFS(dados!$N$2:$N$1028,dados!$I$2:$I$1028,E661)</f>
        <v>4</v>
      </c>
      <c r="J661" s="3"/>
      <c r="K661" s="3"/>
    </row>
    <row r="662" customFormat="false" ht="15" hidden="false" customHeight="false" outlineLevel="0" collapsed="false">
      <c r="A662" s="2" t="s">
        <v>70</v>
      </c>
      <c r="B662" s="2" t="s">
        <v>760</v>
      </c>
      <c r="C662" s="2" t="n">
        <v>192</v>
      </c>
      <c r="D662" s="2" t="s">
        <v>45</v>
      </c>
      <c r="E662" s="2" t="s">
        <v>761</v>
      </c>
      <c r="F662" s="6" t="n">
        <f aca="false">COUNTIF(dados!$I$2:$I$1028,E662)</f>
        <v>1</v>
      </c>
      <c r="G662" s="10" t="n">
        <f aca="false">SUMIFS(dados!$M$2:$M$1028,dados!$I$2:$I$1028,E662)</f>
        <v>0.0108941558546402</v>
      </c>
      <c r="H662" s="7" t="n">
        <f aca="false">SQRT(G662*40000/PI())</f>
        <v>11.7774657888003</v>
      </c>
      <c r="I662" s="11" t="n">
        <f aca="false">_xlfn.MAXIFS(dados!$N$2:$N$1028,dados!$I$2:$I$1028,E662)</f>
        <v>10</v>
      </c>
      <c r="J662" s="3"/>
      <c r="K662" s="3"/>
    </row>
    <row r="663" customFormat="false" ht="15" hidden="false" customHeight="false" outlineLevel="0" collapsed="false">
      <c r="A663" s="2" t="s">
        <v>70</v>
      </c>
      <c r="B663" s="2" t="s">
        <v>760</v>
      </c>
      <c r="C663" s="2" t="n">
        <v>193</v>
      </c>
      <c r="D663" s="2" t="s">
        <v>37</v>
      </c>
      <c r="E663" s="2" t="s">
        <v>762</v>
      </c>
      <c r="F663" s="6" t="n">
        <f aca="false">COUNTIF(dados!$I$2:$I$1028,E663)</f>
        <v>1</v>
      </c>
      <c r="G663" s="10" t="n">
        <f aca="false">SUMIFS(dados!$M$2:$M$1028,dados!$I$2:$I$1028,E663)</f>
        <v>0.00716197243913529</v>
      </c>
      <c r="H663" s="7" t="n">
        <f aca="false">SQRT(G663*40000/PI())</f>
        <v>9.54929658551372</v>
      </c>
      <c r="I663" s="11" t="n">
        <f aca="false">_xlfn.MAXIFS(dados!$N$2:$N$1028,dados!$I$2:$I$1028,E663)</f>
        <v>7</v>
      </c>
      <c r="J663" s="3"/>
      <c r="K663" s="3"/>
    </row>
    <row r="664" customFormat="false" ht="15" hidden="false" customHeight="false" outlineLevel="0" collapsed="false">
      <c r="A664" s="2" t="s">
        <v>70</v>
      </c>
      <c r="B664" s="2" t="s">
        <v>760</v>
      </c>
      <c r="C664" s="2" t="n">
        <v>194</v>
      </c>
      <c r="D664" s="2" t="s">
        <v>37</v>
      </c>
      <c r="E664" s="2" t="s">
        <v>763</v>
      </c>
      <c r="F664" s="6" t="n">
        <f aca="false">COUNTIF(dados!$I$2:$I$1028,E664)</f>
        <v>1</v>
      </c>
      <c r="G664" s="10" t="n">
        <f aca="false">SUMIFS(dados!$M$2:$M$1028,dados!$I$2:$I$1028,E664)</f>
        <v>0.00974824026437859</v>
      </c>
      <c r="H664" s="7" t="n">
        <f aca="false">SQRT(G664*40000/PI())</f>
        <v>11.1408460164327</v>
      </c>
      <c r="I664" s="11" t="n">
        <f aca="false">_xlfn.MAXIFS(dados!$N$2:$N$1028,dados!$I$2:$I$1028,E664)</f>
        <v>7</v>
      </c>
      <c r="J664" s="3"/>
      <c r="K664" s="3"/>
    </row>
    <row r="665" customFormat="false" ht="15" hidden="false" customHeight="false" outlineLevel="0" collapsed="false">
      <c r="A665" s="2" t="s">
        <v>70</v>
      </c>
      <c r="B665" s="2" t="s">
        <v>760</v>
      </c>
      <c r="C665" s="2" t="n">
        <v>195</v>
      </c>
      <c r="D665" s="2" t="s">
        <v>37</v>
      </c>
      <c r="E665" s="2" t="s">
        <v>764</v>
      </c>
      <c r="F665" s="6" t="n">
        <f aca="false">COUNTIF(dados!$I$2:$I$1028,E665)</f>
        <v>1</v>
      </c>
      <c r="G665" s="10" t="n">
        <f aca="false">SUMIFS(dados!$M$2:$M$1028,dados!$I$2:$I$1028,E665)</f>
        <v>0.0140374659807052</v>
      </c>
      <c r="H665" s="7" t="n">
        <f aca="false">SQRT(G665*40000/PI())</f>
        <v>13.3690152197192</v>
      </c>
      <c r="I665" s="11" t="n">
        <f aca="false">_xlfn.MAXIFS(dados!$N$2:$N$1028,dados!$I$2:$I$1028,E665)</f>
        <v>9</v>
      </c>
      <c r="J665" s="3"/>
      <c r="K665" s="3"/>
    </row>
    <row r="666" customFormat="false" ht="15" hidden="false" customHeight="false" outlineLevel="0" collapsed="false">
      <c r="A666" s="2" t="s">
        <v>70</v>
      </c>
      <c r="B666" s="2" t="s">
        <v>760</v>
      </c>
      <c r="C666" s="2" t="n">
        <v>196</v>
      </c>
      <c r="D666" s="2" t="s">
        <v>45</v>
      </c>
      <c r="E666" s="2" t="s">
        <v>765</v>
      </c>
      <c r="F666" s="6" t="n">
        <f aca="false">COUNTIF(dados!$I$2:$I$1028,E666)</f>
        <v>1</v>
      </c>
      <c r="G666" s="10" t="n">
        <f aca="false">SUMIFS(dados!$M$2:$M$1028,dados!$I$2:$I$1028,E666)</f>
        <v>0.00716197243913529</v>
      </c>
      <c r="H666" s="7" t="n">
        <f aca="false">SQRT(G666*40000/PI())</f>
        <v>9.54929658551372</v>
      </c>
      <c r="I666" s="11" t="n">
        <f aca="false">_xlfn.MAXIFS(dados!$N$2:$N$1028,dados!$I$2:$I$1028,E666)</f>
        <v>8</v>
      </c>
      <c r="J666" s="3"/>
      <c r="K666" s="3"/>
    </row>
    <row r="667" customFormat="false" ht="15" hidden="false" customHeight="false" outlineLevel="0" collapsed="false">
      <c r="A667" s="2" t="s">
        <v>70</v>
      </c>
      <c r="B667" s="2" t="s">
        <v>760</v>
      </c>
      <c r="C667" s="2" t="n">
        <v>197</v>
      </c>
      <c r="D667" s="2" t="s">
        <v>71</v>
      </c>
      <c r="E667" s="2" t="s">
        <v>766</v>
      </c>
      <c r="F667" s="6" t="n">
        <f aca="false">COUNTIF(dados!$I$2:$I$1028,E667)</f>
        <v>1</v>
      </c>
      <c r="G667" s="10" t="n">
        <f aca="false">SUMIFS(dados!$M$2:$M$1028,dados!$I$2:$I$1028,E667)</f>
        <v>0.00318309886183791</v>
      </c>
      <c r="H667" s="7" t="n">
        <f aca="false">SQRT(G667*40000/PI())</f>
        <v>6.36619772367581</v>
      </c>
      <c r="I667" s="11" t="n">
        <f aca="false">_xlfn.MAXIFS(dados!$N$2:$N$1028,dados!$I$2:$I$1028,E667)</f>
        <v>5</v>
      </c>
      <c r="J667" s="3"/>
      <c r="K667" s="3"/>
    </row>
    <row r="668" customFormat="false" ht="15" hidden="false" customHeight="false" outlineLevel="0" collapsed="false">
      <c r="A668" s="2" t="s">
        <v>70</v>
      </c>
      <c r="B668" s="2" t="s">
        <v>760</v>
      </c>
      <c r="C668" s="2" t="n">
        <v>198</v>
      </c>
      <c r="D668" s="2" t="s">
        <v>37</v>
      </c>
      <c r="E668" s="2" t="s">
        <v>767</v>
      </c>
      <c r="F668" s="6" t="n">
        <f aca="false">COUNTIF(dados!$I$2:$I$1028,E668)</f>
        <v>1</v>
      </c>
      <c r="G668" s="10" t="n">
        <f aca="false">SUMIFS(dados!$M$2:$M$1028,dados!$I$2:$I$1028,E668)</f>
        <v>0.0062388737692023</v>
      </c>
      <c r="H668" s="7" t="n">
        <f aca="false">SQRT(G668*40000/PI())</f>
        <v>8.91267681314614</v>
      </c>
      <c r="I668" s="11" t="n">
        <f aca="false">_xlfn.MAXIFS(dados!$N$2:$N$1028,dados!$I$2:$I$1028,E668)</f>
        <v>7</v>
      </c>
      <c r="J668" s="3"/>
      <c r="K668" s="3"/>
    </row>
    <row r="669" customFormat="false" ht="15" hidden="false" customHeight="false" outlineLevel="0" collapsed="false">
      <c r="A669" s="2" t="s">
        <v>70</v>
      </c>
      <c r="B669" s="2" t="s">
        <v>760</v>
      </c>
      <c r="C669" s="2" t="n">
        <v>199</v>
      </c>
      <c r="D669" s="2" t="s">
        <v>71</v>
      </c>
      <c r="E669" s="2" t="s">
        <v>768</v>
      </c>
      <c r="F669" s="6" t="n">
        <f aca="false">COUNTIF(dados!$I$2:$I$1028,E669)</f>
        <v>1</v>
      </c>
      <c r="G669" s="10" t="n">
        <f aca="false">SUMIFS(dados!$M$2:$M$1028,dados!$I$2:$I$1028,E669)</f>
        <v>0.00385154962282387</v>
      </c>
      <c r="H669" s="7" t="n">
        <f aca="false">SQRT(G669*40000/PI())</f>
        <v>7.0028174960434</v>
      </c>
      <c r="I669" s="11" t="n">
        <f aca="false">_xlfn.MAXIFS(dados!$N$2:$N$1028,dados!$I$2:$I$1028,E669)</f>
        <v>5</v>
      </c>
      <c r="J669" s="3"/>
      <c r="K669" s="3"/>
    </row>
    <row r="670" customFormat="false" ht="15" hidden="false" customHeight="false" outlineLevel="0" collapsed="false">
      <c r="A670" s="2" t="s">
        <v>70</v>
      </c>
      <c r="B670" s="2" t="s">
        <v>760</v>
      </c>
      <c r="C670" s="2" t="n">
        <v>200</v>
      </c>
      <c r="D670" s="2" t="s">
        <v>71</v>
      </c>
      <c r="E670" s="2" t="s">
        <v>769</v>
      </c>
      <c r="F670" s="6" t="n">
        <f aca="false">COUNTIF(dados!$I$2:$I$1028,E670)</f>
        <v>1</v>
      </c>
      <c r="G670" s="10" t="n">
        <f aca="false">SUMIFS(dados!$M$2:$M$1028,dados!$I$2:$I$1028,E670)</f>
        <v>0.00420964824478063</v>
      </c>
      <c r="H670" s="7" t="n">
        <f aca="false">SQRT(G670*40000/PI())</f>
        <v>7.32112738222719</v>
      </c>
      <c r="I670" s="11" t="n">
        <f aca="false">_xlfn.MAXIFS(dados!$N$2:$N$1028,dados!$I$2:$I$1028,E670)</f>
        <v>5</v>
      </c>
      <c r="J670" s="3"/>
      <c r="K670" s="3"/>
    </row>
    <row r="671" customFormat="false" ht="15" hidden="false" customHeight="false" outlineLevel="0" collapsed="false">
      <c r="A671" s="2" t="s">
        <v>70</v>
      </c>
      <c r="B671" s="2" t="s">
        <v>760</v>
      </c>
      <c r="C671" s="2" t="n">
        <v>201</v>
      </c>
      <c r="D671" s="2" t="s">
        <v>71</v>
      </c>
      <c r="E671" s="2" t="s">
        <v>770</v>
      </c>
      <c r="F671" s="6" t="n">
        <f aca="false">COUNTIF(dados!$I$2:$I$1028,E671)</f>
        <v>1</v>
      </c>
      <c r="G671" s="10" t="n">
        <f aca="false">SUMIFS(dados!$M$2:$M$1028,dados!$I$2:$I$1028,E671)</f>
        <v>0.00203718327157626</v>
      </c>
      <c r="H671" s="7" t="n">
        <f aca="false">SQRT(G671*40000/PI())</f>
        <v>5.09295817894065</v>
      </c>
      <c r="I671" s="11" t="n">
        <f aca="false">_xlfn.MAXIFS(dados!$N$2:$N$1028,dados!$I$2:$I$1028,E671)</f>
        <v>5</v>
      </c>
      <c r="J671" s="3"/>
      <c r="K671" s="3"/>
    </row>
    <row r="672" customFormat="false" ht="15" hidden="false" customHeight="false" outlineLevel="0" collapsed="false">
      <c r="A672" s="2" t="s">
        <v>70</v>
      </c>
      <c r="B672" s="2" t="s">
        <v>760</v>
      </c>
      <c r="C672" s="2" t="n">
        <v>202</v>
      </c>
      <c r="D672" s="2" t="s">
        <v>71</v>
      </c>
      <c r="E672" s="2" t="s">
        <v>771</v>
      </c>
      <c r="F672" s="6" t="n">
        <f aca="false">COUNTIF(dados!$I$2:$I$1028,E672)</f>
        <v>1</v>
      </c>
      <c r="G672" s="10" t="n">
        <f aca="false">SUMIFS(dados!$M$2:$M$1028,dados!$I$2:$I$1028,E672)</f>
        <v>0.00318309886183791</v>
      </c>
      <c r="H672" s="7" t="n">
        <f aca="false">SQRT(G672*40000/PI())</f>
        <v>6.36619772367581</v>
      </c>
      <c r="I672" s="11" t="n">
        <f aca="false">_xlfn.MAXIFS(dados!$N$2:$N$1028,dados!$I$2:$I$1028,E672)</f>
        <v>5</v>
      </c>
      <c r="J672" s="3"/>
      <c r="K672" s="3"/>
    </row>
    <row r="673" customFormat="false" ht="15" hidden="false" customHeight="false" outlineLevel="0" collapsed="false">
      <c r="A673" s="2" t="s">
        <v>70</v>
      </c>
      <c r="B673" s="2" t="s">
        <v>760</v>
      </c>
      <c r="C673" s="2" t="n">
        <v>203</v>
      </c>
      <c r="D673" s="2" t="s">
        <v>71</v>
      </c>
      <c r="E673" s="2" t="s">
        <v>772</v>
      </c>
      <c r="F673" s="6" t="n">
        <f aca="false">COUNTIF(dados!$I$2:$I$1028,E673)</f>
        <v>1</v>
      </c>
      <c r="G673" s="10" t="n">
        <f aca="false">SUMIFS(dados!$M$2:$M$1028,dados!$I$2:$I$1028,E673)</f>
        <v>0.00179049310978382</v>
      </c>
      <c r="H673" s="7" t="n">
        <f aca="false">SQRT(G673*40000/PI())</f>
        <v>4.77464829275686</v>
      </c>
      <c r="I673" s="11" t="n">
        <f aca="false">_xlfn.MAXIFS(dados!$N$2:$N$1028,dados!$I$2:$I$1028,E673)</f>
        <v>2</v>
      </c>
      <c r="J673" s="3"/>
      <c r="K673" s="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17" min="2" style="0" width="9"/>
  </cols>
  <sheetData>
    <row r="1" customFormat="false" ht="15" hidden="false" customHeight="false" outlineLevel="0" collapsed="false">
      <c r="A1" s="4" t="s">
        <v>17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50</v>
      </c>
      <c r="H1" s="4" t="s">
        <v>50</v>
      </c>
      <c r="I1" s="4" t="s">
        <v>50</v>
      </c>
      <c r="J1" s="4" t="s">
        <v>50</v>
      </c>
      <c r="K1" s="4" t="s">
        <v>50</v>
      </c>
      <c r="L1" s="4" t="s">
        <v>70</v>
      </c>
      <c r="M1" s="4" t="s">
        <v>70</v>
      </c>
      <c r="N1" s="4" t="s">
        <v>70</v>
      </c>
      <c r="O1" s="4" t="s">
        <v>70</v>
      </c>
      <c r="P1" s="4" t="s">
        <v>70</v>
      </c>
      <c r="Q1" s="3"/>
    </row>
    <row r="2" customFormat="false" ht="26.85" hidden="false" customHeight="false" outlineLevel="0" collapsed="false">
      <c r="A2" s="5" t="s">
        <v>23</v>
      </c>
      <c r="B2" s="5" t="s">
        <v>86</v>
      </c>
      <c r="C2" s="5" t="s">
        <v>134</v>
      </c>
      <c r="D2" s="5" t="s">
        <v>190</v>
      </c>
      <c r="E2" s="5" t="s">
        <v>258</v>
      </c>
      <c r="F2" s="5" t="s">
        <v>311</v>
      </c>
      <c r="G2" s="5" t="s">
        <v>381</v>
      </c>
      <c r="H2" s="5" t="s">
        <v>422</v>
      </c>
      <c r="I2" s="5" t="s">
        <v>455</v>
      </c>
      <c r="J2" s="5" t="s">
        <v>476</v>
      </c>
      <c r="K2" s="5" t="s">
        <v>517</v>
      </c>
      <c r="L2" s="5" t="s">
        <v>564</v>
      </c>
      <c r="M2" s="5" t="s">
        <v>622</v>
      </c>
      <c r="N2" s="5" t="s">
        <v>642</v>
      </c>
      <c r="O2" s="5" t="s">
        <v>706</v>
      </c>
      <c r="P2" s="5" t="s">
        <v>760</v>
      </c>
      <c r="Q2" s="5" t="s">
        <v>773</v>
      </c>
    </row>
    <row r="3" customFormat="false" ht="15" hidden="false" customHeight="false" outlineLevel="0" collapsed="false">
      <c r="A3" s="12" t="s">
        <v>37</v>
      </c>
      <c r="B3" s="2" t="n">
        <f aca="false">COUNTIFS(arvores!$D$2:$D$673,$A3,arvores!$B$2:$B$673,B$2)</f>
        <v>28</v>
      </c>
      <c r="C3" s="2" t="n">
        <f aca="false">COUNTIFS(arvores!$D$2:$D$673,$A3,arvores!$B$2:$B$673,C$2)</f>
        <v>33</v>
      </c>
      <c r="D3" s="2" t="n">
        <f aca="false">COUNTIFS(arvores!$D$2:$D$673,$A3,arvores!$B$2:$B$673,D$2)</f>
        <v>55</v>
      </c>
      <c r="E3" s="2" t="n">
        <f aca="false">COUNTIFS(arvores!$D$2:$D$673,$A3,arvores!$B$2:$B$673,E$2)</f>
        <v>25</v>
      </c>
      <c r="F3" s="2" t="n">
        <f aca="false">COUNTIFS(arvores!$D$2:$D$673,$A3,arvores!$B$2:$B$673,F$2)</f>
        <v>50</v>
      </c>
      <c r="G3" s="2" t="n">
        <f aca="false">COUNTIFS(arvores!$D$2:$D$673,$A3,arvores!$B$2:$B$673,G$2)</f>
        <v>15</v>
      </c>
      <c r="H3" s="2" t="n">
        <f aca="false">COUNTIFS(arvores!$D$2:$D$673,$A3,arvores!$B$2:$B$673,H$2)</f>
        <v>13</v>
      </c>
      <c r="I3" s="2" t="n">
        <f aca="false">COUNTIFS(arvores!$D$2:$D$673,$A3,arvores!$B$2:$B$673,I$2)</f>
        <v>12</v>
      </c>
      <c r="J3" s="2" t="n">
        <f aca="false">COUNTIFS(arvores!$D$2:$D$673,$A3,arvores!$B$2:$B$673,J$2)</f>
        <v>18</v>
      </c>
      <c r="K3" s="2" t="n">
        <f aca="false">COUNTIFS(arvores!$D$2:$D$673,$A3,arvores!$B$2:$B$673,K$2)</f>
        <v>29</v>
      </c>
      <c r="L3" s="2" t="n">
        <f aca="false">COUNTIFS(arvores!$D$2:$D$673,$A3,arvores!$B$2:$B$673,L$2)</f>
        <v>51</v>
      </c>
      <c r="M3" s="2" t="n">
        <f aca="false">COUNTIFS(arvores!$D$2:$D$673,$A3,arvores!$B$2:$B$673,M$2)</f>
        <v>11</v>
      </c>
      <c r="N3" s="2" t="n">
        <f aca="false">COUNTIFS(arvores!$D$2:$D$673,$A3,arvores!$B$2:$B$673,N$2)</f>
        <v>30</v>
      </c>
      <c r="O3" s="2" t="n">
        <f aca="false">COUNTIFS(arvores!$D$2:$D$673,$A3,arvores!$B$2:$B$673,O$2)</f>
        <v>36</v>
      </c>
      <c r="P3" s="2" t="n">
        <f aca="false">COUNTIFS(arvores!$D$2:$D$673,$A3,arvores!$B$2:$B$673,P$2)</f>
        <v>4</v>
      </c>
      <c r="Q3" s="4" t="n">
        <f aca="false">SUM(B3:P3)</f>
        <v>410</v>
      </c>
    </row>
    <row r="4" customFormat="false" ht="15" hidden="false" customHeight="false" outlineLevel="0" collapsed="false">
      <c r="A4" s="12" t="s">
        <v>33</v>
      </c>
      <c r="B4" s="2" t="n">
        <f aca="false">COUNTIFS(arvores!$D$2:$D$673,$A4,arvores!$B$2:$B$673,B$2)</f>
        <v>11</v>
      </c>
      <c r="C4" s="2" t="n">
        <f aca="false">COUNTIFS(arvores!$D$2:$D$673,$A4,arvores!$B$2:$B$673,C$2)</f>
        <v>17</v>
      </c>
      <c r="D4" s="2" t="n">
        <f aca="false">COUNTIFS(arvores!$D$2:$D$673,$A4,arvores!$B$2:$B$673,D$2)</f>
        <v>9</v>
      </c>
      <c r="E4" s="2" t="n">
        <f aca="false">COUNTIFS(arvores!$D$2:$D$673,$A4,arvores!$B$2:$B$673,E$2)</f>
        <v>24</v>
      </c>
      <c r="F4" s="2" t="n">
        <f aca="false">COUNTIFS(arvores!$D$2:$D$673,$A4,arvores!$B$2:$B$673,F$2)</f>
        <v>18</v>
      </c>
      <c r="G4" s="2" t="n">
        <f aca="false">COUNTIFS(arvores!$D$2:$D$673,$A4,arvores!$B$2:$B$673,G$2)</f>
        <v>0</v>
      </c>
      <c r="H4" s="2" t="n">
        <f aca="false">COUNTIFS(arvores!$D$2:$D$673,$A4,arvores!$B$2:$B$673,H$2)</f>
        <v>0</v>
      </c>
      <c r="I4" s="2" t="n">
        <f aca="false">COUNTIFS(arvores!$D$2:$D$673,$A4,arvores!$B$2:$B$673,I$2)</f>
        <v>0</v>
      </c>
      <c r="J4" s="2" t="n">
        <f aca="false">COUNTIFS(arvores!$D$2:$D$673,$A4,arvores!$B$2:$B$673,J$2)</f>
        <v>0</v>
      </c>
      <c r="K4" s="2" t="n">
        <f aca="false">COUNTIFS(arvores!$D$2:$D$673,$A4,arvores!$B$2:$B$673,K$2)</f>
        <v>0</v>
      </c>
      <c r="L4" s="2" t="n">
        <f aca="false">COUNTIFS(arvores!$D$2:$D$673,$A4,arvores!$B$2:$B$673,L$2)</f>
        <v>0</v>
      </c>
      <c r="M4" s="2" t="n">
        <f aca="false">COUNTIFS(arvores!$D$2:$D$673,$A4,arvores!$B$2:$B$673,M$2)</f>
        <v>0</v>
      </c>
      <c r="N4" s="2" t="n">
        <f aca="false">COUNTIFS(arvores!$D$2:$D$673,$A4,arvores!$B$2:$B$673,N$2)</f>
        <v>0</v>
      </c>
      <c r="O4" s="2" t="n">
        <f aca="false">COUNTIFS(arvores!$D$2:$D$673,$A4,arvores!$B$2:$B$673,O$2)</f>
        <v>0</v>
      </c>
      <c r="P4" s="2" t="n">
        <f aca="false">COUNTIFS(arvores!$D$2:$D$673,$A4,arvores!$B$2:$B$673,P$2)</f>
        <v>0</v>
      </c>
      <c r="Q4" s="4" t="n">
        <f aca="false">SUM(B4:P4)</f>
        <v>79</v>
      </c>
    </row>
    <row r="5" customFormat="false" ht="15" hidden="false" customHeight="false" outlineLevel="0" collapsed="false">
      <c r="A5" s="12" t="s">
        <v>48</v>
      </c>
      <c r="B5" s="2" t="n">
        <f aca="false">COUNTIFS(arvores!$D$2:$D$673,$A5,arvores!$B$2:$B$673,B$2)</f>
        <v>0</v>
      </c>
      <c r="C5" s="2" t="n">
        <f aca="false">COUNTIFS(arvores!$D$2:$D$673,$A5,arvores!$B$2:$B$673,C$2)</f>
        <v>1</v>
      </c>
      <c r="D5" s="2" t="n">
        <f aca="false">COUNTIFS(arvores!$D$2:$D$673,$A5,arvores!$B$2:$B$673,D$2)</f>
        <v>3</v>
      </c>
      <c r="E5" s="2" t="n">
        <f aca="false">COUNTIFS(arvores!$D$2:$D$673,$A5,arvores!$B$2:$B$673,E$2)</f>
        <v>2</v>
      </c>
      <c r="F5" s="2" t="n">
        <f aca="false">COUNTIFS(arvores!$D$2:$D$673,$A5,arvores!$B$2:$B$673,F$2)</f>
        <v>1</v>
      </c>
      <c r="G5" s="2" t="n">
        <f aca="false">COUNTIFS(arvores!$D$2:$D$673,$A5,arvores!$B$2:$B$673,G$2)</f>
        <v>1</v>
      </c>
      <c r="H5" s="2" t="n">
        <f aca="false">COUNTIFS(arvores!$D$2:$D$673,$A5,arvores!$B$2:$B$673,H$2)</f>
        <v>0</v>
      </c>
      <c r="I5" s="2" t="n">
        <f aca="false">COUNTIFS(arvores!$D$2:$D$673,$A5,arvores!$B$2:$B$673,I$2)</f>
        <v>2</v>
      </c>
      <c r="J5" s="2" t="n">
        <f aca="false">COUNTIFS(arvores!$D$2:$D$673,$A5,arvores!$B$2:$B$673,J$2)</f>
        <v>1</v>
      </c>
      <c r="K5" s="2" t="n">
        <f aca="false">COUNTIFS(arvores!$D$2:$D$673,$A5,arvores!$B$2:$B$673,K$2)</f>
        <v>0</v>
      </c>
      <c r="L5" s="2" t="n">
        <f aca="false">COUNTIFS(arvores!$D$2:$D$673,$A5,arvores!$B$2:$B$673,L$2)</f>
        <v>0</v>
      </c>
      <c r="M5" s="2" t="n">
        <f aca="false">COUNTIFS(arvores!$D$2:$D$673,$A5,arvores!$B$2:$B$673,M$2)</f>
        <v>0</v>
      </c>
      <c r="N5" s="2" t="n">
        <f aca="false">COUNTIFS(arvores!$D$2:$D$673,$A5,arvores!$B$2:$B$673,N$2)</f>
        <v>0</v>
      </c>
      <c r="O5" s="2" t="n">
        <f aca="false">COUNTIFS(arvores!$D$2:$D$673,$A5,arvores!$B$2:$B$673,O$2)</f>
        <v>0</v>
      </c>
      <c r="P5" s="2" t="n">
        <f aca="false">COUNTIFS(arvores!$D$2:$D$673,$A5,arvores!$B$2:$B$673,P$2)</f>
        <v>0</v>
      </c>
      <c r="Q5" s="4" t="n">
        <f aca="false">SUM(B5:P5)</f>
        <v>11</v>
      </c>
    </row>
    <row r="6" customFormat="false" ht="15" hidden="false" customHeight="false" outlineLevel="0" collapsed="false">
      <c r="A6" s="12" t="s">
        <v>71</v>
      </c>
      <c r="B6" s="2" t="n">
        <f aca="false">COUNTIFS(arvores!$D$2:$D$673,$A6,arvores!$B$2:$B$673,B$2)</f>
        <v>0</v>
      </c>
      <c r="C6" s="2" t="n">
        <f aca="false">COUNTIFS(arvores!$D$2:$D$673,$A6,arvores!$B$2:$B$673,C$2)</f>
        <v>0</v>
      </c>
      <c r="D6" s="2" t="n">
        <f aca="false">COUNTIFS(arvores!$D$2:$D$673,$A6,arvores!$B$2:$B$673,D$2)</f>
        <v>0</v>
      </c>
      <c r="E6" s="2" t="n">
        <f aca="false">COUNTIFS(arvores!$D$2:$D$673,$A6,arvores!$B$2:$B$673,E$2)</f>
        <v>0</v>
      </c>
      <c r="F6" s="2" t="n">
        <f aca="false">COUNTIFS(arvores!$D$2:$D$673,$A6,arvores!$B$2:$B$673,F$2)</f>
        <v>0</v>
      </c>
      <c r="G6" s="2" t="n">
        <f aca="false">COUNTIFS(arvores!$D$2:$D$673,$A6,arvores!$B$2:$B$673,G$2)</f>
        <v>0</v>
      </c>
      <c r="H6" s="2" t="n">
        <f aca="false">COUNTIFS(arvores!$D$2:$D$673,$A6,arvores!$B$2:$B$673,H$2)</f>
        <v>0</v>
      </c>
      <c r="I6" s="2" t="n">
        <f aca="false">COUNTIFS(arvores!$D$2:$D$673,$A6,arvores!$B$2:$B$673,I$2)</f>
        <v>0</v>
      </c>
      <c r="J6" s="2" t="n">
        <f aca="false">COUNTIFS(arvores!$D$2:$D$673,$A6,arvores!$B$2:$B$673,J$2)</f>
        <v>0</v>
      </c>
      <c r="K6" s="2" t="n">
        <f aca="false">COUNTIFS(arvores!$D$2:$D$673,$A6,arvores!$B$2:$B$673,K$2)</f>
        <v>0</v>
      </c>
      <c r="L6" s="2" t="n">
        <f aca="false">COUNTIFS(arvores!$D$2:$D$673,$A6,arvores!$B$2:$B$673,L$2)</f>
        <v>3</v>
      </c>
      <c r="M6" s="2" t="n">
        <f aca="false">COUNTIFS(arvores!$D$2:$D$673,$A6,arvores!$B$2:$B$673,M$2)</f>
        <v>3</v>
      </c>
      <c r="N6" s="2" t="n">
        <f aca="false">COUNTIFS(arvores!$D$2:$D$673,$A6,arvores!$B$2:$B$673,N$2)</f>
        <v>18</v>
      </c>
      <c r="O6" s="2" t="n">
        <f aca="false">COUNTIFS(arvores!$D$2:$D$673,$A6,arvores!$B$2:$B$673,O$2)</f>
        <v>17</v>
      </c>
      <c r="P6" s="2" t="n">
        <f aca="false">COUNTIFS(arvores!$D$2:$D$673,$A6,arvores!$B$2:$B$673,P$2)</f>
        <v>6</v>
      </c>
      <c r="Q6" s="4" t="n">
        <f aca="false">SUM(B6:P6)</f>
        <v>47</v>
      </c>
    </row>
    <row r="7" customFormat="false" ht="15" hidden="false" customHeight="false" outlineLevel="0" collapsed="false">
      <c r="A7" s="12" t="s">
        <v>52</v>
      </c>
      <c r="B7" s="2" t="n">
        <f aca="false">COUNTIFS(arvores!$D$2:$D$673,$A7,arvores!$B$2:$B$673,B$2)</f>
        <v>0</v>
      </c>
      <c r="C7" s="2" t="n">
        <f aca="false">COUNTIFS(arvores!$D$2:$D$673,$A7,arvores!$B$2:$B$673,C$2)</f>
        <v>0</v>
      </c>
      <c r="D7" s="2" t="n">
        <f aca="false">COUNTIFS(arvores!$D$2:$D$673,$A7,arvores!$B$2:$B$673,D$2)</f>
        <v>0</v>
      </c>
      <c r="E7" s="2" t="n">
        <f aca="false">COUNTIFS(arvores!$D$2:$D$673,$A7,arvores!$B$2:$B$673,E$2)</f>
        <v>0</v>
      </c>
      <c r="F7" s="2" t="n">
        <f aca="false">COUNTIFS(arvores!$D$2:$D$673,$A7,arvores!$B$2:$B$673,F$2)</f>
        <v>0</v>
      </c>
      <c r="G7" s="2" t="n">
        <f aca="false">COUNTIFS(arvores!$D$2:$D$673,$A7,arvores!$B$2:$B$673,G$2)</f>
        <v>14</v>
      </c>
      <c r="H7" s="2" t="n">
        <f aca="false">COUNTIFS(arvores!$D$2:$D$673,$A7,arvores!$B$2:$B$673,H$2)</f>
        <v>11</v>
      </c>
      <c r="I7" s="2" t="n">
        <f aca="false">COUNTIFS(arvores!$D$2:$D$673,$A7,arvores!$B$2:$B$673,I$2)</f>
        <v>0</v>
      </c>
      <c r="J7" s="2" t="n">
        <f aca="false">COUNTIFS(arvores!$D$2:$D$673,$A7,arvores!$B$2:$B$673,J$2)</f>
        <v>12</v>
      </c>
      <c r="K7" s="2" t="n">
        <f aca="false">COUNTIFS(arvores!$D$2:$D$673,$A7,arvores!$B$2:$B$673,K$2)</f>
        <v>0</v>
      </c>
      <c r="L7" s="2" t="n">
        <f aca="false">COUNTIFS(arvores!$D$2:$D$673,$A7,arvores!$B$2:$B$673,L$2)</f>
        <v>0</v>
      </c>
      <c r="M7" s="2" t="n">
        <f aca="false">COUNTIFS(arvores!$D$2:$D$673,$A7,arvores!$B$2:$B$673,M$2)</f>
        <v>0</v>
      </c>
      <c r="N7" s="2" t="n">
        <f aca="false">COUNTIFS(arvores!$D$2:$D$673,$A7,arvores!$B$2:$B$673,N$2)</f>
        <v>0</v>
      </c>
      <c r="O7" s="2" t="n">
        <f aca="false">COUNTIFS(arvores!$D$2:$D$673,$A7,arvores!$B$2:$B$673,O$2)</f>
        <v>0</v>
      </c>
      <c r="P7" s="2" t="n">
        <f aca="false">COUNTIFS(arvores!$D$2:$D$673,$A7,arvores!$B$2:$B$673,P$2)</f>
        <v>0</v>
      </c>
      <c r="Q7" s="4" t="n">
        <f aca="false">SUM(B7:P7)</f>
        <v>37</v>
      </c>
    </row>
    <row r="8" customFormat="false" ht="15" hidden="false" customHeight="false" outlineLevel="0" collapsed="false">
      <c r="A8" s="12" t="s">
        <v>60</v>
      </c>
      <c r="B8" s="2" t="n">
        <f aca="false">COUNTIFS(arvores!$D$2:$D$673,$A8,arvores!$B$2:$B$673,B$2)</f>
        <v>0</v>
      </c>
      <c r="C8" s="2" t="n">
        <f aca="false">COUNTIFS(arvores!$D$2:$D$673,$A8,arvores!$B$2:$B$673,C$2)</f>
        <v>0</v>
      </c>
      <c r="D8" s="2" t="n">
        <f aca="false">COUNTIFS(arvores!$D$2:$D$673,$A8,arvores!$B$2:$B$673,D$2)</f>
        <v>0</v>
      </c>
      <c r="E8" s="2" t="n">
        <f aca="false">COUNTIFS(arvores!$D$2:$D$673,$A8,arvores!$B$2:$B$673,E$2)</f>
        <v>0</v>
      </c>
      <c r="F8" s="2" t="n">
        <f aca="false">COUNTIFS(arvores!$D$2:$D$673,$A8,arvores!$B$2:$B$673,F$2)</f>
        <v>0</v>
      </c>
      <c r="G8" s="2" t="n">
        <f aca="false">COUNTIFS(arvores!$D$2:$D$673,$A8,arvores!$B$2:$B$673,G$2)</f>
        <v>0</v>
      </c>
      <c r="H8" s="2" t="n">
        <f aca="false">COUNTIFS(arvores!$D$2:$D$673,$A8,arvores!$B$2:$B$673,H$2)</f>
        <v>1</v>
      </c>
      <c r="I8" s="2" t="n">
        <f aca="false">COUNTIFS(arvores!$D$2:$D$673,$A8,arvores!$B$2:$B$673,I$2)</f>
        <v>0</v>
      </c>
      <c r="J8" s="2" t="n">
        <f aca="false">COUNTIFS(arvores!$D$2:$D$673,$A8,arvores!$B$2:$B$673,J$2)</f>
        <v>1</v>
      </c>
      <c r="K8" s="2" t="n">
        <f aca="false">COUNTIFS(arvores!$D$2:$D$673,$A8,arvores!$B$2:$B$673,K$2)</f>
        <v>1</v>
      </c>
      <c r="L8" s="2" t="n">
        <f aca="false">COUNTIFS(arvores!$D$2:$D$673,$A8,arvores!$B$2:$B$673,L$2)</f>
        <v>1</v>
      </c>
      <c r="M8" s="2" t="n">
        <f aca="false">COUNTIFS(arvores!$D$2:$D$673,$A8,arvores!$B$2:$B$673,M$2)</f>
        <v>1</v>
      </c>
      <c r="N8" s="2" t="n">
        <f aca="false">COUNTIFS(arvores!$D$2:$D$673,$A8,arvores!$B$2:$B$673,N$2)</f>
        <v>2</v>
      </c>
      <c r="O8" s="2" t="n">
        <f aca="false">COUNTIFS(arvores!$D$2:$D$673,$A8,arvores!$B$2:$B$673,O$2)</f>
        <v>0</v>
      </c>
      <c r="P8" s="2" t="n">
        <f aca="false">COUNTIFS(arvores!$D$2:$D$673,$A8,arvores!$B$2:$B$673,P$2)</f>
        <v>0</v>
      </c>
      <c r="Q8" s="4" t="n">
        <f aca="false">SUM(B8:P8)</f>
        <v>7</v>
      </c>
    </row>
    <row r="9" customFormat="false" ht="15" hidden="false" customHeight="false" outlineLevel="0" collapsed="false">
      <c r="A9" s="12" t="s">
        <v>44</v>
      </c>
      <c r="B9" s="2" t="n">
        <f aca="false">COUNTIFS(arvores!$D$2:$D$673,$A9,arvores!$B$2:$B$673,B$2)</f>
        <v>1</v>
      </c>
      <c r="C9" s="2" t="n">
        <f aca="false">COUNTIFS(arvores!$D$2:$D$673,$A9,arvores!$B$2:$B$673,C$2)</f>
        <v>0</v>
      </c>
      <c r="D9" s="2" t="n">
        <f aca="false">COUNTIFS(arvores!$D$2:$D$673,$A9,arvores!$B$2:$B$673,D$2)</f>
        <v>0</v>
      </c>
      <c r="E9" s="2" t="n">
        <f aca="false">COUNTIFS(arvores!$D$2:$D$673,$A9,arvores!$B$2:$B$673,E$2)</f>
        <v>0</v>
      </c>
      <c r="F9" s="2" t="n">
        <f aca="false">COUNTIFS(arvores!$D$2:$D$673,$A9,arvores!$B$2:$B$673,F$2)</f>
        <v>0</v>
      </c>
      <c r="G9" s="2" t="n">
        <f aca="false">COUNTIFS(arvores!$D$2:$D$673,$A9,arvores!$B$2:$B$673,G$2)</f>
        <v>1</v>
      </c>
      <c r="H9" s="2" t="n">
        <f aca="false">COUNTIFS(arvores!$D$2:$D$673,$A9,arvores!$B$2:$B$673,H$2)</f>
        <v>1</v>
      </c>
      <c r="I9" s="2" t="n">
        <f aca="false">COUNTIFS(arvores!$D$2:$D$673,$A9,arvores!$B$2:$B$673,I$2)</f>
        <v>0</v>
      </c>
      <c r="J9" s="2" t="n">
        <f aca="false">COUNTIFS(arvores!$D$2:$D$673,$A9,arvores!$B$2:$B$673,J$2)</f>
        <v>1</v>
      </c>
      <c r="K9" s="2" t="n">
        <f aca="false">COUNTIFS(arvores!$D$2:$D$673,$A9,arvores!$B$2:$B$673,K$2)</f>
        <v>6</v>
      </c>
      <c r="L9" s="2" t="n">
        <f aca="false">COUNTIFS(arvores!$D$2:$D$673,$A9,arvores!$B$2:$B$673,L$2)</f>
        <v>0</v>
      </c>
      <c r="M9" s="2" t="n">
        <f aca="false">COUNTIFS(arvores!$D$2:$D$673,$A9,arvores!$B$2:$B$673,M$2)</f>
        <v>0</v>
      </c>
      <c r="N9" s="2" t="n">
        <f aca="false">COUNTIFS(arvores!$D$2:$D$673,$A9,arvores!$B$2:$B$673,N$2)</f>
        <v>0</v>
      </c>
      <c r="O9" s="2" t="n">
        <f aca="false">COUNTIFS(arvores!$D$2:$D$673,$A9,arvores!$B$2:$B$673,O$2)</f>
        <v>0</v>
      </c>
      <c r="P9" s="2" t="n">
        <f aca="false">COUNTIFS(arvores!$D$2:$D$673,$A9,arvores!$B$2:$B$673,P$2)</f>
        <v>0</v>
      </c>
      <c r="Q9" s="4" t="n">
        <f aca="false">SUM(B9:P9)</f>
        <v>10</v>
      </c>
    </row>
    <row r="10" customFormat="false" ht="15" hidden="false" customHeight="false" outlineLevel="0" collapsed="false">
      <c r="A10" s="12" t="s">
        <v>45</v>
      </c>
      <c r="B10" s="2" t="n">
        <f aca="false">COUNTIFS(arvores!$D$2:$D$673,$A10,arvores!$B$2:$B$673,B$2)</f>
        <v>1</v>
      </c>
      <c r="C10" s="2" t="n">
        <f aca="false">COUNTIFS(arvores!$D$2:$D$673,$A10,arvores!$B$2:$B$673,C$2)</f>
        <v>0</v>
      </c>
      <c r="D10" s="2" t="n">
        <f aca="false">COUNTIFS(arvores!$D$2:$D$673,$A10,arvores!$B$2:$B$673,D$2)</f>
        <v>0</v>
      </c>
      <c r="E10" s="2" t="n">
        <f aca="false">COUNTIFS(arvores!$D$2:$D$673,$A10,arvores!$B$2:$B$673,E$2)</f>
        <v>0</v>
      </c>
      <c r="F10" s="2" t="n">
        <f aca="false">COUNTIFS(arvores!$D$2:$D$673,$A10,arvores!$B$2:$B$673,F$2)</f>
        <v>0</v>
      </c>
      <c r="G10" s="2" t="n">
        <f aca="false">COUNTIFS(arvores!$D$2:$D$673,$A10,arvores!$B$2:$B$673,G$2)</f>
        <v>0</v>
      </c>
      <c r="H10" s="2" t="n">
        <f aca="false">COUNTIFS(arvores!$D$2:$D$673,$A10,arvores!$B$2:$B$673,H$2)</f>
        <v>0</v>
      </c>
      <c r="I10" s="2" t="n">
        <f aca="false">COUNTIFS(arvores!$D$2:$D$673,$A10,arvores!$B$2:$B$673,I$2)</f>
        <v>0</v>
      </c>
      <c r="J10" s="2" t="n">
        <f aca="false">COUNTIFS(arvores!$D$2:$D$673,$A10,arvores!$B$2:$B$673,J$2)</f>
        <v>0</v>
      </c>
      <c r="K10" s="2" t="n">
        <f aca="false">COUNTIFS(arvores!$D$2:$D$673,$A10,arvores!$B$2:$B$673,K$2)</f>
        <v>0</v>
      </c>
      <c r="L10" s="2" t="n">
        <f aca="false">COUNTIFS(arvores!$D$2:$D$673,$A10,arvores!$B$2:$B$673,L$2)</f>
        <v>0</v>
      </c>
      <c r="M10" s="2" t="n">
        <f aca="false">COUNTIFS(arvores!$D$2:$D$673,$A10,arvores!$B$2:$B$673,M$2)</f>
        <v>3</v>
      </c>
      <c r="N10" s="2" t="n">
        <f aca="false">COUNTIFS(arvores!$D$2:$D$673,$A10,arvores!$B$2:$B$673,N$2)</f>
        <v>1</v>
      </c>
      <c r="O10" s="2" t="n">
        <f aca="false">COUNTIFS(arvores!$D$2:$D$673,$A10,arvores!$B$2:$B$673,O$2)</f>
        <v>0</v>
      </c>
      <c r="P10" s="2" t="n">
        <f aca="false">COUNTIFS(arvores!$D$2:$D$673,$A10,arvores!$B$2:$B$673,P$2)</f>
        <v>2</v>
      </c>
      <c r="Q10" s="4" t="n">
        <f aca="false">SUM(B10:P10)</f>
        <v>7</v>
      </c>
    </row>
    <row r="11" customFormat="false" ht="15" hidden="false" customHeight="false" outlineLevel="0" collapsed="false">
      <c r="A11" s="12" t="s">
        <v>65</v>
      </c>
      <c r="B11" s="2" t="n">
        <f aca="false">COUNTIFS(arvores!$D$2:$D$673,$A11,arvores!$B$2:$B$673,B$2)</f>
        <v>0</v>
      </c>
      <c r="C11" s="2" t="n">
        <f aca="false">COUNTIFS(arvores!$D$2:$D$673,$A11,arvores!$B$2:$B$673,C$2)</f>
        <v>0</v>
      </c>
      <c r="D11" s="2" t="n">
        <f aca="false">COUNTIFS(arvores!$D$2:$D$673,$A11,arvores!$B$2:$B$673,D$2)</f>
        <v>0</v>
      </c>
      <c r="E11" s="2" t="n">
        <f aca="false">COUNTIFS(arvores!$D$2:$D$673,$A11,arvores!$B$2:$B$673,E$2)</f>
        <v>0</v>
      </c>
      <c r="F11" s="2" t="n">
        <f aca="false">COUNTIFS(arvores!$D$2:$D$673,$A11,arvores!$B$2:$B$673,F$2)</f>
        <v>0</v>
      </c>
      <c r="G11" s="2" t="n">
        <f aca="false">COUNTIFS(arvores!$D$2:$D$673,$A11,arvores!$B$2:$B$673,G$2)</f>
        <v>0</v>
      </c>
      <c r="H11" s="2" t="n">
        <f aca="false">COUNTIFS(arvores!$D$2:$D$673,$A11,arvores!$B$2:$B$673,H$2)</f>
        <v>0</v>
      </c>
      <c r="I11" s="2" t="n">
        <f aca="false">COUNTIFS(arvores!$D$2:$D$673,$A11,arvores!$B$2:$B$673,I$2)</f>
        <v>0</v>
      </c>
      <c r="J11" s="2" t="n">
        <f aca="false">COUNTIFS(arvores!$D$2:$D$673,$A11,arvores!$B$2:$B$673,J$2)</f>
        <v>1</v>
      </c>
      <c r="K11" s="2" t="n">
        <f aca="false">COUNTIFS(arvores!$D$2:$D$673,$A11,arvores!$B$2:$B$673,K$2)</f>
        <v>5</v>
      </c>
      <c r="L11" s="2" t="n">
        <f aca="false">COUNTIFS(arvores!$D$2:$D$673,$A11,arvores!$B$2:$B$673,L$2)</f>
        <v>0</v>
      </c>
      <c r="M11" s="2" t="n">
        <f aca="false">COUNTIFS(arvores!$D$2:$D$673,$A11,arvores!$B$2:$B$673,M$2)</f>
        <v>0</v>
      </c>
      <c r="N11" s="2" t="n">
        <f aca="false">COUNTIFS(arvores!$D$2:$D$673,$A11,arvores!$B$2:$B$673,N$2)</f>
        <v>0</v>
      </c>
      <c r="O11" s="2" t="n">
        <f aca="false">COUNTIFS(arvores!$D$2:$D$673,$A11,arvores!$B$2:$B$673,O$2)</f>
        <v>0</v>
      </c>
      <c r="P11" s="2" t="n">
        <f aca="false">COUNTIFS(arvores!$D$2:$D$673,$A11,arvores!$B$2:$B$673,P$2)</f>
        <v>0</v>
      </c>
      <c r="Q11" s="4" t="n">
        <f aca="false">SUM(B11:P11)</f>
        <v>6</v>
      </c>
    </row>
    <row r="12" customFormat="false" ht="15" hidden="false" customHeight="false" outlineLevel="0" collapsed="false">
      <c r="A12" s="12" t="s">
        <v>61</v>
      </c>
      <c r="B12" s="2" t="n">
        <f aca="false">COUNTIFS(arvores!$D$2:$D$673,$A12,arvores!$B$2:$B$673,B$2)</f>
        <v>0</v>
      </c>
      <c r="C12" s="2" t="n">
        <f aca="false">COUNTIFS(arvores!$D$2:$D$673,$A12,arvores!$B$2:$B$673,C$2)</f>
        <v>0</v>
      </c>
      <c r="D12" s="2" t="n">
        <f aca="false">COUNTIFS(arvores!$D$2:$D$673,$A12,arvores!$B$2:$B$673,D$2)</f>
        <v>0</v>
      </c>
      <c r="E12" s="2" t="n">
        <f aca="false">COUNTIFS(arvores!$D$2:$D$673,$A12,arvores!$B$2:$B$673,E$2)</f>
        <v>0</v>
      </c>
      <c r="F12" s="2" t="n">
        <f aca="false">COUNTIFS(arvores!$D$2:$D$673,$A12,arvores!$B$2:$B$673,F$2)</f>
        <v>0</v>
      </c>
      <c r="G12" s="2" t="n">
        <f aca="false">COUNTIFS(arvores!$D$2:$D$673,$A12,arvores!$B$2:$B$673,G$2)</f>
        <v>0</v>
      </c>
      <c r="H12" s="2" t="n">
        <f aca="false">COUNTIFS(arvores!$D$2:$D$673,$A12,arvores!$B$2:$B$673,H$2)</f>
        <v>1</v>
      </c>
      <c r="I12" s="2" t="n">
        <f aca="false">COUNTIFS(arvores!$D$2:$D$673,$A12,arvores!$B$2:$B$673,I$2)</f>
        <v>2</v>
      </c>
      <c r="J12" s="2" t="n">
        <f aca="false">COUNTIFS(arvores!$D$2:$D$673,$A12,arvores!$B$2:$B$673,J$2)</f>
        <v>0</v>
      </c>
      <c r="K12" s="2" t="n">
        <f aca="false">COUNTIFS(arvores!$D$2:$D$673,$A12,arvores!$B$2:$B$673,K$2)</f>
        <v>1</v>
      </c>
      <c r="L12" s="2" t="n">
        <f aca="false">COUNTIFS(arvores!$D$2:$D$673,$A12,arvores!$B$2:$B$673,L$2)</f>
        <v>0</v>
      </c>
      <c r="M12" s="2" t="n">
        <f aca="false">COUNTIFS(arvores!$D$2:$D$673,$A12,arvores!$B$2:$B$673,M$2)</f>
        <v>0</v>
      </c>
      <c r="N12" s="2" t="n">
        <f aca="false">COUNTIFS(arvores!$D$2:$D$673,$A12,arvores!$B$2:$B$673,N$2)</f>
        <v>0</v>
      </c>
      <c r="O12" s="2" t="n">
        <f aca="false">COUNTIFS(arvores!$D$2:$D$673,$A12,arvores!$B$2:$B$673,O$2)</f>
        <v>0</v>
      </c>
      <c r="P12" s="2" t="n">
        <f aca="false">COUNTIFS(arvores!$D$2:$D$673,$A12,arvores!$B$2:$B$673,P$2)</f>
        <v>0</v>
      </c>
      <c r="Q12" s="4" t="n">
        <f aca="false">SUM(B12:P12)</f>
        <v>4</v>
      </c>
    </row>
    <row r="13" customFormat="false" ht="15" hidden="false" customHeight="false" outlineLevel="0" collapsed="false">
      <c r="A13" s="12" t="s">
        <v>42</v>
      </c>
      <c r="B13" s="2" t="n">
        <f aca="false">COUNTIFS(arvores!$D$2:$D$673,$A13,arvores!$B$2:$B$673,B$2)</f>
        <v>2</v>
      </c>
      <c r="C13" s="2" t="n">
        <f aca="false">COUNTIFS(arvores!$D$2:$D$673,$A13,arvores!$B$2:$B$673,C$2)</f>
        <v>1</v>
      </c>
      <c r="D13" s="2" t="n">
        <f aca="false">COUNTIFS(arvores!$D$2:$D$673,$A13,arvores!$B$2:$B$673,D$2)</f>
        <v>0</v>
      </c>
      <c r="E13" s="2" t="n">
        <f aca="false">COUNTIFS(arvores!$D$2:$D$673,$A13,arvores!$B$2:$B$673,E$2)</f>
        <v>0</v>
      </c>
      <c r="F13" s="2" t="n">
        <f aca="false">COUNTIFS(arvores!$D$2:$D$673,$A13,arvores!$B$2:$B$673,F$2)</f>
        <v>0</v>
      </c>
      <c r="G13" s="2" t="n">
        <f aca="false">COUNTIFS(arvores!$D$2:$D$673,$A13,arvores!$B$2:$B$673,G$2)</f>
        <v>0</v>
      </c>
      <c r="H13" s="2" t="n">
        <f aca="false">COUNTIFS(arvores!$D$2:$D$673,$A13,arvores!$B$2:$B$673,H$2)</f>
        <v>0</v>
      </c>
      <c r="I13" s="2" t="n">
        <f aca="false">COUNTIFS(arvores!$D$2:$D$673,$A13,arvores!$B$2:$B$673,I$2)</f>
        <v>0</v>
      </c>
      <c r="J13" s="2" t="n">
        <f aca="false">COUNTIFS(arvores!$D$2:$D$673,$A13,arvores!$B$2:$B$673,J$2)</f>
        <v>0</v>
      </c>
      <c r="K13" s="2" t="n">
        <f aca="false">COUNTIFS(arvores!$D$2:$D$673,$A13,arvores!$B$2:$B$673,K$2)</f>
        <v>0</v>
      </c>
      <c r="L13" s="2" t="n">
        <f aca="false">COUNTIFS(arvores!$D$2:$D$673,$A13,arvores!$B$2:$B$673,L$2)</f>
        <v>0</v>
      </c>
      <c r="M13" s="2" t="n">
        <f aca="false">COUNTIFS(arvores!$D$2:$D$673,$A13,arvores!$B$2:$B$673,M$2)</f>
        <v>0</v>
      </c>
      <c r="N13" s="2" t="n">
        <f aca="false">COUNTIFS(arvores!$D$2:$D$673,$A13,arvores!$B$2:$B$673,N$2)</f>
        <v>0</v>
      </c>
      <c r="O13" s="2" t="n">
        <f aca="false">COUNTIFS(arvores!$D$2:$D$673,$A13,arvores!$B$2:$B$673,O$2)</f>
        <v>0</v>
      </c>
      <c r="P13" s="2" t="n">
        <f aca="false">COUNTIFS(arvores!$D$2:$D$673,$A13,arvores!$B$2:$B$673,P$2)</f>
        <v>0</v>
      </c>
      <c r="Q13" s="4" t="n">
        <f aca="false">SUM(B13:P13)</f>
        <v>3</v>
      </c>
    </row>
    <row r="14" customFormat="false" ht="15" hidden="false" customHeight="false" outlineLevel="0" collapsed="false">
      <c r="A14" s="12" t="s">
        <v>51</v>
      </c>
      <c r="B14" s="2" t="n">
        <f aca="false">COUNTIFS(arvores!$D$2:$D$673,$A14,arvores!$B$2:$B$673,B$2)</f>
        <v>0</v>
      </c>
      <c r="C14" s="2" t="n">
        <f aca="false">COUNTIFS(arvores!$D$2:$D$673,$A14,arvores!$B$2:$B$673,C$2)</f>
        <v>0</v>
      </c>
      <c r="D14" s="2" t="n">
        <f aca="false">COUNTIFS(arvores!$D$2:$D$673,$A14,arvores!$B$2:$B$673,D$2)</f>
        <v>0</v>
      </c>
      <c r="E14" s="2" t="n">
        <f aca="false">COUNTIFS(arvores!$D$2:$D$673,$A14,arvores!$B$2:$B$673,E$2)</f>
        <v>0</v>
      </c>
      <c r="F14" s="2" t="n">
        <f aca="false">COUNTIFS(arvores!$D$2:$D$673,$A14,arvores!$B$2:$B$673,F$2)</f>
        <v>0</v>
      </c>
      <c r="G14" s="2" t="n">
        <f aca="false">COUNTIFS(arvores!$D$2:$D$673,$A14,arvores!$B$2:$B$673,G$2)</f>
        <v>3</v>
      </c>
      <c r="H14" s="2" t="n">
        <f aca="false">COUNTIFS(arvores!$D$2:$D$673,$A14,arvores!$B$2:$B$673,H$2)</f>
        <v>1</v>
      </c>
      <c r="I14" s="2" t="n">
        <f aca="false">COUNTIFS(arvores!$D$2:$D$673,$A14,arvores!$B$2:$B$673,I$2)</f>
        <v>0</v>
      </c>
      <c r="J14" s="2" t="n">
        <f aca="false">COUNTIFS(arvores!$D$2:$D$673,$A14,arvores!$B$2:$B$673,J$2)</f>
        <v>0</v>
      </c>
      <c r="K14" s="2" t="n">
        <f aca="false">COUNTIFS(arvores!$D$2:$D$673,$A14,arvores!$B$2:$B$673,K$2)</f>
        <v>0</v>
      </c>
      <c r="L14" s="2" t="n">
        <f aca="false">COUNTIFS(arvores!$D$2:$D$673,$A14,arvores!$B$2:$B$673,L$2)</f>
        <v>0</v>
      </c>
      <c r="M14" s="2" t="n">
        <f aca="false">COUNTIFS(arvores!$D$2:$D$673,$A14,arvores!$B$2:$B$673,M$2)</f>
        <v>0</v>
      </c>
      <c r="N14" s="2" t="n">
        <f aca="false">COUNTIFS(arvores!$D$2:$D$673,$A14,arvores!$B$2:$B$673,N$2)</f>
        <v>0</v>
      </c>
      <c r="O14" s="2" t="n">
        <f aca="false">COUNTIFS(arvores!$D$2:$D$673,$A14,arvores!$B$2:$B$673,O$2)</f>
        <v>0</v>
      </c>
      <c r="P14" s="2" t="n">
        <f aca="false">COUNTIFS(arvores!$D$2:$D$673,$A14,arvores!$B$2:$B$673,P$2)</f>
        <v>0</v>
      </c>
      <c r="Q14" s="4" t="n">
        <f aca="false">SUM(B14:P14)</f>
        <v>4</v>
      </c>
    </row>
    <row r="15" customFormat="false" ht="15" hidden="false" customHeight="false" outlineLevel="0" collapsed="false">
      <c r="A15" s="12" t="s">
        <v>66</v>
      </c>
      <c r="B15" s="2" t="n">
        <f aca="false">COUNTIFS(arvores!$D$2:$D$673,$A15,arvores!$B$2:$B$673,B$2)</f>
        <v>0</v>
      </c>
      <c r="C15" s="2" t="n">
        <f aca="false">COUNTIFS(arvores!$D$2:$D$673,$A15,arvores!$B$2:$B$673,C$2)</f>
        <v>0</v>
      </c>
      <c r="D15" s="2" t="n">
        <f aca="false">COUNTIFS(arvores!$D$2:$D$673,$A15,arvores!$B$2:$B$673,D$2)</f>
        <v>0</v>
      </c>
      <c r="E15" s="2" t="n">
        <f aca="false">COUNTIFS(arvores!$D$2:$D$673,$A15,arvores!$B$2:$B$673,E$2)</f>
        <v>0</v>
      </c>
      <c r="F15" s="2" t="n">
        <f aca="false">COUNTIFS(arvores!$D$2:$D$673,$A15,arvores!$B$2:$B$673,F$2)</f>
        <v>0</v>
      </c>
      <c r="G15" s="2" t="n">
        <f aca="false">COUNTIFS(arvores!$D$2:$D$673,$A15,arvores!$B$2:$B$673,G$2)</f>
        <v>0</v>
      </c>
      <c r="H15" s="2" t="n">
        <f aca="false">COUNTIFS(arvores!$D$2:$D$673,$A15,arvores!$B$2:$B$673,H$2)</f>
        <v>0</v>
      </c>
      <c r="I15" s="2" t="n">
        <f aca="false">COUNTIFS(arvores!$D$2:$D$673,$A15,arvores!$B$2:$B$673,I$2)</f>
        <v>0</v>
      </c>
      <c r="J15" s="2" t="n">
        <f aca="false">COUNTIFS(arvores!$D$2:$D$673,$A15,arvores!$B$2:$B$673,J$2)</f>
        <v>2</v>
      </c>
      <c r="K15" s="2" t="n">
        <f aca="false">COUNTIFS(arvores!$D$2:$D$673,$A15,arvores!$B$2:$B$673,K$2)</f>
        <v>2</v>
      </c>
      <c r="L15" s="2" t="n">
        <f aca="false">COUNTIFS(arvores!$D$2:$D$673,$A15,arvores!$B$2:$B$673,L$2)</f>
        <v>0</v>
      </c>
      <c r="M15" s="2" t="n">
        <f aca="false">COUNTIFS(arvores!$D$2:$D$673,$A15,arvores!$B$2:$B$673,M$2)</f>
        <v>0</v>
      </c>
      <c r="N15" s="2" t="n">
        <f aca="false">COUNTIFS(arvores!$D$2:$D$673,$A15,arvores!$B$2:$B$673,N$2)</f>
        <v>0</v>
      </c>
      <c r="O15" s="2" t="n">
        <f aca="false">COUNTIFS(arvores!$D$2:$D$673,$A15,arvores!$B$2:$B$673,O$2)</f>
        <v>0</v>
      </c>
      <c r="P15" s="2" t="n">
        <f aca="false">COUNTIFS(arvores!$D$2:$D$673,$A15,arvores!$B$2:$B$673,P$2)</f>
        <v>0</v>
      </c>
      <c r="Q15" s="4" t="n">
        <f aca="false">SUM(B15:P15)</f>
        <v>4</v>
      </c>
    </row>
    <row r="16" customFormat="false" ht="15" hidden="false" customHeight="false" outlineLevel="0" collapsed="false">
      <c r="A16" s="12" t="s">
        <v>72</v>
      </c>
      <c r="B16" s="2" t="n">
        <f aca="false">COUNTIFS(arvores!$D$2:$D$673,$A16,arvores!$B$2:$B$673,B$2)</f>
        <v>0</v>
      </c>
      <c r="C16" s="2" t="n">
        <f aca="false">COUNTIFS(arvores!$D$2:$D$673,$A16,arvores!$B$2:$B$673,C$2)</f>
        <v>0</v>
      </c>
      <c r="D16" s="2" t="n">
        <f aca="false">COUNTIFS(arvores!$D$2:$D$673,$A16,arvores!$B$2:$B$673,D$2)</f>
        <v>0</v>
      </c>
      <c r="E16" s="2" t="n">
        <f aca="false">COUNTIFS(arvores!$D$2:$D$673,$A16,arvores!$B$2:$B$673,E$2)</f>
        <v>0</v>
      </c>
      <c r="F16" s="2" t="n">
        <f aca="false">COUNTIFS(arvores!$D$2:$D$673,$A16,arvores!$B$2:$B$673,F$2)</f>
        <v>0</v>
      </c>
      <c r="G16" s="2" t="n">
        <f aca="false">COUNTIFS(arvores!$D$2:$D$673,$A16,arvores!$B$2:$B$673,G$2)</f>
        <v>0</v>
      </c>
      <c r="H16" s="2" t="n">
        <f aca="false">COUNTIFS(arvores!$D$2:$D$673,$A16,arvores!$B$2:$B$673,H$2)</f>
        <v>0</v>
      </c>
      <c r="I16" s="2" t="n">
        <f aca="false">COUNTIFS(arvores!$D$2:$D$673,$A16,arvores!$B$2:$B$673,I$2)</f>
        <v>0</v>
      </c>
      <c r="J16" s="2" t="n">
        <f aca="false">COUNTIFS(arvores!$D$2:$D$673,$A16,arvores!$B$2:$B$673,J$2)</f>
        <v>0</v>
      </c>
      <c r="K16" s="2" t="n">
        <f aca="false">COUNTIFS(arvores!$D$2:$D$673,$A16,arvores!$B$2:$B$673,K$2)</f>
        <v>0</v>
      </c>
      <c r="L16" s="2" t="n">
        <f aca="false">COUNTIFS(arvores!$D$2:$D$673,$A16,arvores!$B$2:$B$673,L$2)</f>
        <v>1</v>
      </c>
      <c r="M16" s="2" t="n">
        <f aca="false">COUNTIFS(arvores!$D$2:$D$673,$A16,arvores!$B$2:$B$673,M$2)</f>
        <v>0</v>
      </c>
      <c r="N16" s="2" t="n">
        <f aca="false">COUNTIFS(arvores!$D$2:$D$673,$A16,arvores!$B$2:$B$673,N$2)</f>
        <v>1</v>
      </c>
      <c r="O16" s="2" t="n">
        <f aca="false">COUNTIFS(arvores!$D$2:$D$673,$A16,arvores!$B$2:$B$673,O$2)</f>
        <v>0</v>
      </c>
      <c r="P16" s="2" t="n">
        <f aca="false">COUNTIFS(arvores!$D$2:$D$673,$A16,arvores!$B$2:$B$673,P$2)</f>
        <v>0</v>
      </c>
      <c r="Q16" s="4" t="n">
        <f aca="false">SUM(B16:P16)</f>
        <v>2</v>
      </c>
    </row>
    <row r="17" customFormat="false" ht="15" hidden="false" customHeight="false" outlineLevel="0" collapsed="false">
      <c r="A17" s="12" t="s">
        <v>57</v>
      </c>
      <c r="B17" s="2" t="n">
        <f aca="false">COUNTIFS(arvores!$D$2:$D$673,$A17,arvores!$B$2:$B$673,B$2)</f>
        <v>0</v>
      </c>
      <c r="C17" s="2" t="n">
        <f aca="false">COUNTIFS(arvores!$D$2:$D$673,$A17,arvores!$B$2:$B$673,C$2)</f>
        <v>0</v>
      </c>
      <c r="D17" s="2" t="n">
        <f aca="false">COUNTIFS(arvores!$D$2:$D$673,$A17,arvores!$B$2:$B$673,D$2)</f>
        <v>0</v>
      </c>
      <c r="E17" s="2" t="n">
        <f aca="false">COUNTIFS(arvores!$D$2:$D$673,$A17,arvores!$B$2:$B$673,E$2)</f>
        <v>0</v>
      </c>
      <c r="F17" s="2" t="n">
        <f aca="false">COUNTIFS(arvores!$D$2:$D$673,$A17,arvores!$B$2:$B$673,F$2)</f>
        <v>0</v>
      </c>
      <c r="G17" s="2" t="n">
        <f aca="false">COUNTIFS(arvores!$D$2:$D$673,$A17,arvores!$B$2:$B$673,G$2)</f>
        <v>1</v>
      </c>
      <c r="H17" s="2" t="n">
        <f aca="false">COUNTIFS(arvores!$D$2:$D$673,$A17,arvores!$B$2:$B$673,H$2)</f>
        <v>0</v>
      </c>
      <c r="I17" s="2" t="n">
        <f aca="false">COUNTIFS(arvores!$D$2:$D$673,$A17,arvores!$B$2:$B$673,I$2)</f>
        <v>1</v>
      </c>
      <c r="J17" s="2" t="n">
        <f aca="false">COUNTIFS(arvores!$D$2:$D$673,$A17,arvores!$B$2:$B$673,J$2)</f>
        <v>0</v>
      </c>
      <c r="K17" s="2" t="n">
        <f aca="false">COUNTIFS(arvores!$D$2:$D$673,$A17,arvores!$B$2:$B$673,K$2)</f>
        <v>0</v>
      </c>
      <c r="L17" s="2" t="n">
        <f aca="false">COUNTIFS(arvores!$D$2:$D$673,$A17,arvores!$B$2:$B$673,L$2)</f>
        <v>0</v>
      </c>
      <c r="M17" s="2" t="n">
        <f aca="false">COUNTIFS(arvores!$D$2:$D$673,$A17,arvores!$B$2:$B$673,M$2)</f>
        <v>0</v>
      </c>
      <c r="N17" s="2" t="n">
        <f aca="false">COUNTIFS(arvores!$D$2:$D$673,$A17,arvores!$B$2:$B$673,N$2)</f>
        <v>0</v>
      </c>
      <c r="O17" s="2" t="n">
        <f aca="false">COUNTIFS(arvores!$D$2:$D$673,$A17,arvores!$B$2:$B$673,O$2)</f>
        <v>0</v>
      </c>
      <c r="P17" s="2" t="n">
        <f aca="false">COUNTIFS(arvores!$D$2:$D$673,$A17,arvores!$B$2:$B$673,P$2)</f>
        <v>0</v>
      </c>
      <c r="Q17" s="4" t="n">
        <f aca="false">SUM(B17:P17)</f>
        <v>2</v>
      </c>
    </row>
    <row r="18" customFormat="false" ht="15" hidden="false" customHeight="false" outlineLevel="0" collapsed="false">
      <c r="A18" s="12" t="s">
        <v>56</v>
      </c>
      <c r="B18" s="2" t="n">
        <f aca="false">COUNTIFS(arvores!$D$2:$D$673,$A18,arvores!$B$2:$B$673,B$2)</f>
        <v>0</v>
      </c>
      <c r="C18" s="2" t="n">
        <f aca="false">COUNTIFS(arvores!$D$2:$D$673,$A18,arvores!$B$2:$B$673,C$2)</f>
        <v>0</v>
      </c>
      <c r="D18" s="2" t="n">
        <f aca="false">COUNTIFS(arvores!$D$2:$D$673,$A18,arvores!$B$2:$B$673,D$2)</f>
        <v>0</v>
      </c>
      <c r="E18" s="2" t="n">
        <f aca="false">COUNTIFS(arvores!$D$2:$D$673,$A18,arvores!$B$2:$B$673,E$2)</f>
        <v>0</v>
      </c>
      <c r="F18" s="2" t="n">
        <f aca="false">COUNTIFS(arvores!$D$2:$D$673,$A18,arvores!$B$2:$B$673,F$2)</f>
        <v>0</v>
      </c>
      <c r="G18" s="2" t="n">
        <f aca="false">COUNTIFS(arvores!$D$2:$D$673,$A18,arvores!$B$2:$B$673,G$2)</f>
        <v>2</v>
      </c>
      <c r="H18" s="2" t="n">
        <f aca="false">COUNTIFS(arvores!$D$2:$D$673,$A18,arvores!$B$2:$B$673,H$2)</f>
        <v>1</v>
      </c>
      <c r="I18" s="2" t="n">
        <f aca="false">COUNTIFS(arvores!$D$2:$D$673,$A18,arvores!$B$2:$B$673,I$2)</f>
        <v>0</v>
      </c>
      <c r="J18" s="2" t="n">
        <f aca="false">COUNTIFS(arvores!$D$2:$D$673,$A18,arvores!$B$2:$B$673,J$2)</f>
        <v>0</v>
      </c>
      <c r="K18" s="2" t="n">
        <f aca="false">COUNTIFS(arvores!$D$2:$D$673,$A18,arvores!$B$2:$B$673,K$2)</f>
        <v>0</v>
      </c>
      <c r="L18" s="2" t="n">
        <f aca="false">COUNTIFS(arvores!$D$2:$D$673,$A18,arvores!$B$2:$B$673,L$2)</f>
        <v>0</v>
      </c>
      <c r="M18" s="2" t="n">
        <f aca="false">COUNTIFS(arvores!$D$2:$D$673,$A18,arvores!$B$2:$B$673,M$2)</f>
        <v>0</v>
      </c>
      <c r="N18" s="2" t="n">
        <f aca="false">COUNTIFS(arvores!$D$2:$D$673,$A18,arvores!$B$2:$B$673,N$2)</f>
        <v>0</v>
      </c>
      <c r="O18" s="2" t="n">
        <f aca="false">COUNTIFS(arvores!$D$2:$D$673,$A18,arvores!$B$2:$B$673,O$2)</f>
        <v>0</v>
      </c>
      <c r="P18" s="2" t="n">
        <f aca="false">COUNTIFS(arvores!$D$2:$D$673,$A18,arvores!$B$2:$B$673,P$2)</f>
        <v>0</v>
      </c>
      <c r="Q18" s="4" t="n">
        <f aca="false">SUM(B18:P18)</f>
        <v>3</v>
      </c>
    </row>
    <row r="19" customFormat="false" ht="15" hidden="false" customHeight="false" outlineLevel="0" collapsed="false">
      <c r="A19" s="12" t="s">
        <v>53</v>
      </c>
      <c r="B19" s="2" t="n">
        <f aca="false">COUNTIFS(arvores!$D$2:$D$673,$A19,arvores!$B$2:$B$673,B$2)</f>
        <v>0</v>
      </c>
      <c r="C19" s="2" t="n">
        <f aca="false">COUNTIFS(arvores!$D$2:$D$673,$A19,arvores!$B$2:$B$673,C$2)</f>
        <v>0</v>
      </c>
      <c r="D19" s="2" t="n">
        <f aca="false">COUNTIFS(arvores!$D$2:$D$673,$A19,arvores!$B$2:$B$673,D$2)</f>
        <v>0</v>
      </c>
      <c r="E19" s="2" t="n">
        <f aca="false">COUNTIFS(arvores!$D$2:$D$673,$A19,arvores!$B$2:$B$673,E$2)</f>
        <v>0</v>
      </c>
      <c r="F19" s="2" t="n">
        <f aca="false">COUNTIFS(arvores!$D$2:$D$673,$A19,arvores!$B$2:$B$673,F$2)</f>
        <v>0</v>
      </c>
      <c r="G19" s="2" t="n">
        <f aca="false">COUNTIFS(arvores!$D$2:$D$673,$A19,arvores!$B$2:$B$673,G$2)</f>
        <v>1</v>
      </c>
      <c r="H19" s="2" t="n">
        <f aca="false">COUNTIFS(arvores!$D$2:$D$673,$A19,arvores!$B$2:$B$673,H$2)</f>
        <v>1</v>
      </c>
      <c r="I19" s="2" t="n">
        <f aca="false">COUNTIFS(arvores!$D$2:$D$673,$A19,arvores!$B$2:$B$673,I$2)</f>
        <v>0</v>
      </c>
      <c r="J19" s="2" t="n">
        <f aca="false">COUNTIFS(arvores!$D$2:$D$673,$A19,arvores!$B$2:$B$673,J$2)</f>
        <v>0</v>
      </c>
      <c r="K19" s="2" t="n">
        <f aca="false">COUNTIFS(arvores!$D$2:$D$673,$A19,arvores!$B$2:$B$673,K$2)</f>
        <v>0</v>
      </c>
      <c r="L19" s="2" t="n">
        <f aca="false">COUNTIFS(arvores!$D$2:$D$673,$A19,arvores!$B$2:$B$673,L$2)</f>
        <v>0</v>
      </c>
      <c r="M19" s="2" t="n">
        <f aca="false">COUNTIFS(arvores!$D$2:$D$673,$A19,arvores!$B$2:$B$673,M$2)</f>
        <v>0</v>
      </c>
      <c r="N19" s="2" t="n">
        <f aca="false">COUNTIFS(arvores!$D$2:$D$673,$A19,arvores!$B$2:$B$673,N$2)</f>
        <v>0</v>
      </c>
      <c r="O19" s="2" t="n">
        <f aca="false">COUNTIFS(arvores!$D$2:$D$673,$A19,arvores!$B$2:$B$673,O$2)</f>
        <v>0</v>
      </c>
      <c r="P19" s="2" t="n">
        <f aca="false">COUNTIFS(arvores!$D$2:$D$673,$A19,arvores!$B$2:$B$673,P$2)</f>
        <v>0</v>
      </c>
      <c r="Q19" s="4" t="n">
        <f aca="false">SUM(B19:P19)</f>
        <v>2</v>
      </c>
    </row>
    <row r="20" customFormat="false" ht="15" hidden="false" customHeight="false" outlineLevel="0" collapsed="false">
      <c r="A20" s="12" t="s">
        <v>59</v>
      </c>
      <c r="B20" s="2" t="n">
        <f aca="false">COUNTIFS(arvores!$D$2:$D$673,$A20,arvores!$B$2:$B$673,B$2)</f>
        <v>0</v>
      </c>
      <c r="C20" s="2" t="n">
        <f aca="false">COUNTIFS(arvores!$D$2:$D$673,$A20,arvores!$B$2:$B$673,C$2)</f>
        <v>0</v>
      </c>
      <c r="D20" s="2" t="n">
        <f aca="false">COUNTIFS(arvores!$D$2:$D$673,$A20,arvores!$B$2:$B$673,D$2)</f>
        <v>0</v>
      </c>
      <c r="E20" s="2" t="n">
        <f aca="false">COUNTIFS(arvores!$D$2:$D$673,$A20,arvores!$B$2:$B$673,E$2)</f>
        <v>0</v>
      </c>
      <c r="F20" s="2" t="n">
        <f aca="false">COUNTIFS(arvores!$D$2:$D$673,$A20,arvores!$B$2:$B$673,F$2)</f>
        <v>0</v>
      </c>
      <c r="G20" s="2" t="n">
        <f aca="false">COUNTIFS(arvores!$D$2:$D$673,$A20,arvores!$B$2:$B$673,G$2)</f>
        <v>0</v>
      </c>
      <c r="H20" s="2" t="n">
        <f aca="false">COUNTIFS(arvores!$D$2:$D$673,$A20,arvores!$B$2:$B$673,H$2)</f>
        <v>1</v>
      </c>
      <c r="I20" s="2" t="n">
        <f aca="false">COUNTIFS(arvores!$D$2:$D$673,$A20,arvores!$B$2:$B$673,I$2)</f>
        <v>0</v>
      </c>
      <c r="J20" s="2" t="n">
        <f aca="false">COUNTIFS(arvores!$D$2:$D$673,$A20,arvores!$B$2:$B$673,J$2)</f>
        <v>2</v>
      </c>
      <c r="K20" s="2" t="n">
        <f aca="false">COUNTIFS(arvores!$D$2:$D$673,$A20,arvores!$B$2:$B$673,K$2)</f>
        <v>0</v>
      </c>
      <c r="L20" s="2" t="n">
        <f aca="false">COUNTIFS(arvores!$D$2:$D$673,$A20,arvores!$B$2:$B$673,L$2)</f>
        <v>0</v>
      </c>
      <c r="M20" s="2" t="n">
        <f aca="false">COUNTIFS(arvores!$D$2:$D$673,$A20,arvores!$B$2:$B$673,M$2)</f>
        <v>0</v>
      </c>
      <c r="N20" s="2" t="n">
        <f aca="false">COUNTIFS(arvores!$D$2:$D$673,$A20,arvores!$B$2:$B$673,N$2)</f>
        <v>0</v>
      </c>
      <c r="O20" s="2" t="n">
        <f aca="false">COUNTIFS(arvores!$D$2:$D$673,$A20,arvores!$B$2:$B$673,O$2)</f>
        <v>0</v>
      </c>
      <c r="P20" s="2" t="n">
        <f aca="false">COUNTIFS(arvores!$D$2:$D$673,$A20,arvores!$B$2:$B$673,P$2)</f>
        <v>0</v>
      </c>
      <c r="Q20" s="4" t="n">
        <f aca="false">SUM(B20:P20)</f>
        <v>3</v>
      </c>
    </row>
    <row r="21" customFormat="false" ht="15" hidden="false" customHeight="false" outlineLevel="0" collapsed="false">
      <c r="A21" s="12" t="s">
        <v>68</v>
      </c>
      <c r="B21" s="2" t="n">
        <f aca="false">COUNTIFS(arvores!$D$2:$D$673,$A21,arvores!$B$2:$B$673,B$2)</f>
        <v>0</v>
      </c>
      <c r="C21" s="2" t="n">
        <f aca="false">COUNTIFS(arvores!$D$2:$D$673,$A21,arvores!$B$2:$B$673,C$2)</f>
        <v>0</v>
      </c>
      <c r="D21" s="2" t="n">
        <f aca="false">COUNTIFS(arvores!$D$2:$D$673,$A21,arvores!$B$2:$B$673,D$2)</f>
        <v>0</v>
      </c>
      <c r="E21" s="2" t="n">
        <f aca="false">COUNTIFS(arvores!$D$2:$D$673,$A21,arvores!$B$2:$B$673,E$2)</f>
        <v>0</v>
      </c>
      <c r="F21" s="2" t="n">
        <f aca="false">COUNTIFS(arvores!$D$2:$D$673,$A21,arvores!$B$2:$B$673,F$2)</f>
        <v>0</v>
      </c>
      <c r="G21" s="2" t="n">
        <f aca="false">COUNTIFS(arvores!$D$2:$D$673,$A21,arvores!$B$2:$B$673,G$2)</f>
        <v>0</v>
      </c>
      <c r="H21" s="2" t="n">
        <f aca="false">COUNTIFS(arvores!$D$2:$D$673,$A21,arvores!$B$2:$B$673,H$2)</f>
        <v>0</v>
      </c>
      <c r="I21" s="2" t="n">
        <f aca="false">COUNTIFS(arvores!$D$2:$D$673,$A21,arvores!$B$2:$B$673,I$2)</f>
        <v>0</v>
      </c>
      <c r="J21" s="2" t="n">
        <f aca="false">COUNTIFS(arvores!$D$2:$D$673,$A21,arvores!$B$2:$B$673,J$2)</f>
        <v>1</v>
      </c>
      <c r="K21" s="2" t="n">
        <f aca="false">COUNTIFS(arvores!$D$2:$D$673,$A21,arvores!$B$2:$B$673,K$2)</f>
        <v>1</v>
      </c>
      <c r="L21" s="2" t="n">
        <f aca="false">COUNTIFS(arvores!$D$2:$D$673,$A21,arvores!$B$2:$B$673,L$2)</f>
        <v>0</v>
      </c>
      <c r="M21" s="2" t="n">
        <f aca="false">COUNTIFS(arvores!$D$2:$D$673,$A21,arvores!$B$2:$B$673,M$2)</f>
        <v>0</v>
      </c>
      <c r="N21" s="2" t="n">
        <f aca="false">COUNTIFS(arvores!$D$2:$D$673,$A21,arvores!$B$2:$B$673,N$2)</f>
        <v>0</v>
      </c>
      <c r="O21" s="2" t="n">
        <f aca="false">COUNTIFS(arvores!$D$2:$D$673,$A21,arvores!$B$2:$B$673,O$2)</f>
        <v>0</v>
      </c>
      <c r="P21" s="2" t="n">
        <f aca="false">COUNTIFS(arvores!$D$2:$D$673,$A21,arvores!$B$2:$B$673,P$2)</f>
        <v>0</v>
      </c>
      <c r="Q21" s="4" t="n">
        <f aca="false">SUM(B21:P21)</f>
        <v>2</v>
      </c>
    </row>
    <row r="22" customFormat="false" ht="15" hidden="false" customHeight="false" outlineLevel="0" collapsed="false">
      <c r="A22" s="12" t="s">
        <v>74</v>
      </c>
      <c r="B22" s="2" t="n">
        <f aca="false">COUNTIFS(arvores!$D$2:$D$673,$A22,arvores!$B$2:$B$673,B$2)</f>
        <v>0</v>
      </c>
      <c r="C22" s="2" t="n">
        <f aca="false">COUNTIFS(arvores!$D$2:$D$673,$A22,arvores!$B$2:$B$673,C$2)</f>
        <v>0</v>
      </c>
      <c r="D22" s="2" t="n">
        <f aca="false">COUNTIFS(arvores!$D$2:$D$673,$A22,arvores!$B$2:$B$673,D$2)</f>
        <v>0</v>
      </c>
      <c r="E22" s="2" t="n">
        <f aca="false">COUNTIFS(arvores!$D$2:$D$673,$A22,arvores!$B$2:$B$673,E$2)</f>
        <v>0</v>
      </c>
      <c r="F22" s="2" t="n">
        <f aca="false">COUNTIFS(arvores!$D$2:$D$673,$A22,arvores!$B$2:$B$673,F$2)</f>
        <v>0</v>
      </c>
      <c r="G22" s="2" t="n">
        <f aca="false">COUNTIFS(arvores!$D$2:$D$673,$A22,arvores!$B$2:$B$673,G$2)</f>
        <v>0</v>
      </c>
      <c r="H22" s="2" t="n">
        <f aca="false">COUNTIFS(arvores!$D$2:$D$673,$A22,arvores!$B$2:$B$673,H$2)</f>
        <v>0</v>
      </c>
      <c r="I22" s="2" t="n">
        <f aca="false">COUNTIFS(arvores!$D$2:$D$673,$A22,arvores!$B$2:$B$673,I$2)</f>
        <v>0</v>
      </c>
      <c r="J22" s="2" t="n">
        <f aca="false">COUNTIFS(arvores!$D$2:$D$673,$A22,arvores!$B$2:$B$673,J$2)</f>
        <v>0</v>
      </c>
      <c r="K22" s="2" t="n">
        <f aca="false">COUNTIFS(arvores!$D$2:$D$673,$A22,arvores!$B$2:$B$673,K$2)</f>
        <v>0</v>
      </c>
      <c r="L22" s="2" t="n">
        <f aca="false">COUNTIFS(arvores!$D$2:$D$673,$A22,arvores!$B$2:$B$673,L$2)</f>
        <v>0</v>
      </c>
      <c r="M22" s="2" t="n">
        <f aca="false">COUNTIFS(arvores!$D$2:$D$673,$A22,arvores!$B$2:$B$673,M$2)</f>
        <v>1</v>
      </c>
      <c r="N22" s="2" t="n">
        <f aca="false">COUNTIFS(arvores!$D$2:$D$673,$A22,arvores!$B$2:$B$673,N$2)</f>
        <v>1</v>
      </c>
      <c r="O22" s="2" t="n">
        <f aca="false">COUNTIFS(arvores!$D$2:$D$673,$A22,arvores!$B$2:$B$673,O$2)</f>
        <v>0</v>
      </c>
      <c r="P22" s="2" t="n">
        <f aca="false">COUNTIFS(arvores!$D$2:$D$673,$A22,arvores!$B$2:$B$673,P$2)</f>
        <v>0</v>
      </c>
      <c r="Q22" s="4" t="n">
        <f aca="false">SUM(B22:P22)</f>
        <v>2</v>
      </c>
    </row>
    <row r="23" customFormat="false" ht="15" hidden="false" customHeight="false" outlineLevel="0" collapsed="false">
      <c r="A23" s="12" t="s">
        <v>75</v>
      </c>
      <c r="B23" s="2" t="n">
        <f aca="false">COUNTIFS(arvores!$D$2:$D$673,$A23,arvores!$B$2:$B$673,B$2)</f>
        <v>0</v>
      </c>
      <c r="C23" s="2" t="n">
        <f aca="false">COUNTIFS(arvores!$D$2:$D$673,$A23,arvores!$B$2:$B$673,C$2)</f>
        <v>0</v>
      </c>
      <c r="D23" s="2" t="n">
        <f aca="false">COUNTIFS(arvores!$D$2:$D$673,$A23,arvores!$B$2:$B$673,D$2)</f>
        <v>0</v>
      </c>
      <c r="E23" s="2" t="n">
        <f aca="false">COUNTIFS(arvores!$D$2:$D$673,$A23,arvores!$B$2:$B$673,E$2)</f>
        <v>0</v>
      </c>
      <c r="F23" s="2" t="n">
        <f aca="false">COUNTIFS(arvores!$D$2:$D$673,$A23,arvores!$B$2:$B$673,F$2)</f>
        <v>0</v>
      </c>
      <c r="G23" s="2" t="n">
        <f aca="false">COUNTIFS(arvores!$D$2:$D$673,$A23,arvores!$B$2:$B$673,G$2)</f>
        <v>0</v>
      </c>
      <c r="H23" s="2" t="n">
        <f aca="false">COUNTIFS(arvores!$D$2:$D$673,$A23,arvores!$B$2:$B$673,H$2)</f>
        <v>0</v>
      </c>
      <c r="I23" s="2" t="n">
        <f aca="false">COUNTIFS(arvores!$D$2:$D$673,$A23,arvores!$B$2:$B$673,I$2)</f>
        <v>0</v>
      </c>
      <c r="J23" s="2" t="n">
        <f aca="false">COUNTIFS(arvores!$D$2:$D$673,$A23,arvores!$B$2:$B$673,J$2)</f>
        <v>0</v>
      </c>
      <c r="K23" s="2" t="n">
        <f aca="false">COUNTIFS(arvores!$D$2:$D$673,$A23,arvores!$B$2:$B$673,K$2)</f>
        <v>0</v>
      </c>
      <c r="L23" s="2" t="n">
        <f aca="false">COUNTIFS(arvores!$D$2:$D$673,$A23,arvores!$B$2:$B$673,L$2)</f>
        <v>0</v>
      </c>
      <c r="M23" s="2" t="n">
        <f aca="false">COUNTIFS(arvores!$D$2:$D$673,$A23,arvores!$B$2:$B$673,M$2)</f>
        <v>0</v>
      </c>
      <c r="N23" s="2" t="n">
        <f aca="false">COUNTIFS(arvores!$D$2:$D$673,$A23,arvores!$B$2:$B$673,N$2)</f>
        <v>3</v>
      </c>
      <c r="O23" s="2" t="n">
        <f aca="false">COUNTIFS(arvores!$D$2:$D$673,$A23,arvores!$B$2:$B$673,O$2)</f>
        <v>0</v>
      </c>
      <c r="P23" s="2" t="n">
        <f aca="false">COUNTIFS(arvores!$D$2:$D$673,$A23,arvores!$B$2:$B$673,P$2)</f>
        <v>0</v>
      </c>
      <c r="Q23" s="4" t="n">
        <f aca="false">SUM(B23:P23)</f>
        <v>3</v>
      </c>
    </row>
    <row r="24" customFormat="false" ht="15" hidden="false" customHeight="false" outlineLevel="0" collapsed="false">
      <c r="A24" s="12" t="s">
        <v>39</v>
      </c>
      <c r="B24" s="2" t="n">
        <f aca="false">COUNTIFS(arvores!$D$2:$D$673,$A24,arvores!$B$2:$B$673,B$2)</f>
        <v>1</v>
      </c>
      <c r="C24" s="2" t="n">
        <f aca="false">COUNTIFS(arvores!$D$2:$D$673,$A24,arvores!$B$2:$B$673,C$2)</f>
        <v>0</v>
      </c>
      <c r="D24" s="2" t="n">
        <f aca="false">COUNTIFS(arvores!$D$2:$D$673,$A24,arvores!$B$2:$B$673,D$2)</f>
        <v>0</v>
      </c>
      <c r="E24" s="2" t="n">
        <f aca="false">COUNTIFS(arvores!$D$2:$D$673,$A24,arvores!$B$2:$B$673,E$2)</f>
        <v>0</v>
      </c>
      <c r="F24" s="2" t="n">
        <f aca="false">COUNTIFS(arvores!$D$2:$D$673,$A24,arvores!$B$2:$B$673,F$2)</f>
        <v>0</v>
      </c>
      <c r="G24" s="2" t="n">
        <f aca="false">COUNTIFS(arvores!$D$2:$D$673,$A24,arvores!$B$2:$B$673,G$2)</f>
        <v>0</v>
      </c>
      <c r="H24" s="2" t="n">
        <f aca="false">COUNTIFS(arvores!$D$2:$D$673,$A24,arvores!$B$2:$B$673,H$2)</f>
        <v>0</v>
      </c>
      <c r="I24" s="2" t="n">
        <f aca="false">COUNTIFS(arvores!$D$2:$D$673,$A24,arvores!$B$2:$B$673,I$2)</f>
        <v>0</v>
      </c>
      <c r="J24" s="2" t="n">
        <f aca="false">COUNTIFS(arvores!$D$2:$D$673,$A24,arvores!$B$2:$B$673,J$2)</f>
        <v>0</v>
      </c>
      <c r="K24" s="2" t="n">
        <f aca="false">COUNTIFS(arvores!$D$2:$D$673,$A24,arvores!$B$2:$B$673,K$2)</f>
        <v>0</v>
      </c>
      <c r="L24" s="2" t="n">
        <f aca="false">COUNTIFS(arvores!$D$2:$D$673,$A24,arvores!$B$2:$B$673,L$2)</f>
        <v>0</v>
      </c>
      <c r="M24" s="2" t="n">
        <f aca="false">COUNTIFS(arvores!$D$2:$D$673,$A24,arvores!$B$2:$B$673,M$2)</f>
        <v>0</v>
      </c>
      <c r="N24" s="2" t="n">
        <f aca="false">COUNTIFS(arvores!$D$2:$D$673,$A24,arvores!$B$2:$B$673,N$2)</f>
        <v>0</v>
      </c>
      <c r="O24" s="2" t="n">
        <f aca="false">COUNTIFS(arvores!$D$2:$D$673,$A24,arvores!$B$2:$B$673,O$2)</f>
        <v>0</v>
      </c>
      <c r="P24" s="2" t="n">
        <f aca="false">COUNTIFS(arvores!$D$2:$D$673,$A24,arvores!$B$2:$B$673,P$2)</f>
        <v>0</v>
      </c>
      <c r="Q24" s="4" t="n">
        <f aca="false">SUM(B24:P24)</f>
        <v>1</v>
      </c>
    </row>
    <row r="25" customFormat="false" ht="15" hidden="false" customHeight="false" outlineLevel="0" collapsed="false">
      <c r="A25" s="12" t="s">
        <v>36</v>
      </c>
      <c r="B25" s="2" t="n">
        <f aca="false">COUNTIFS(arvores!$D$2:$D$673,$A25,arvores!$B$2:$B$673,B$2)</f>
        <v>1</v>
      </c>
      <c r="C25" s="2" t="n">
        <f aca="false">COUNTIFS(arvores!$D$2:$D$673,$A25,arvores!$B$2:$B$673,C$2)</f>
        <v>0</v>
      </c>
      <c r="D25" s="2" t="n">
        <f aca="false">COUNTIFS(arvores!$D$2:$D$673,$A25,arvores!$B$2:$B$673,D$2)</f>
        <v>0</v>
      </c>
      <c r="E25" s="2" t="n">
        <f aca="false">COUNTIFS(arvores!$D$2:$D$673,$A25,arvores!$B$2:$B$673,E$2)</f>
        <v>0</v>
      </c>
      <c r="F25" s="2" t="n">
        <f aca="false">COUNTIFS(arvores!$D$2:$D$673,$A25,arvores!$B$2:$B$673,F$2)</f>
        <v>0</v>
      </c>
      <c r="G25" s="2" t="n">
        <f aca="false">COUNTIFS(arvores!$D$2:$D$673,$A25,arvores!$B$2:$B$673,G$2)</f>
        <v>0</v>
      </c>
      <c r="H25" s="2" t="n">
        <f aca="false">COUNTIFS(arvores!$D$2:$D$673,$A25,arvores!$B$2:$B$673,H$2)</f>
        <v>0</v>
      </c>
      <c r="I25" s="2" t="n">
        <f aca="false">COUNTIFS(arvores!$D$2:$D$673,$A25,arvores!$B$2:$B$673,I$2)</f>
        <v>0</v>
      </c>
      <c r="J25" s="2" t="n">
        <f aca="false">COUNTIFS(arvores!$D$2:$D$673,$A25,arvores!$B$2:$B$673,J$2)</f>
        <v>0</v>
      </c>
      <c r="K25" s="2" t="n">
        <f aca="false">COUNTIFS(arvores!$D$2:$D$673,$A25,arvores!$B$2:$B$673,K$2)</f>
        <v>0</v>
      </c>
      <c r="L25" s="2" t="n">
        <f aca="false">COUNTIFS(arvores!$D$2:$D$673,$A25,arvores!$B$2:$B$673,L$2)</f>
        <v>0</v>
      </c>
      <c r="M25" s="2" t="n">
        <f aca="false">COUNTIFS(arvores!$D$2:$D$673,$A25,arvores!$B$2:$B$673,M$2)</f>
        <v>0</v>
      </c>
      <c r="N25" s="2" t="n">
        <f aca="false">COUNTIFS(arvores!$D$2:$D$673,$A25,arvores!$B$2:$B$673,N$2)</f>
        <v>0</v>
      </c>
      <c r="O25" s="2" t="n">
        <f aca="false">COUNTIFS(arvores!$D$2:$D$673,$A25,arvores!$B$2:$B$673,O$2)</f>
        <v>0</v>
      </c>
      <c r="P25" s="2" t="n">
        <f aca="false">COUNTIFS(arvores!$D$2:$D$673,$A25,arvores!$B$2:$B$673,P$2)</f>
        <v>0</v>
      </c>
      <c r="Q25" s="4" t="n">
        <f aca="false">SUM(B25:P25)</f>
        <v>1</v>
      </c>
    </row>
    <row r="26" customFormat="false" ht="15" hidden="false" customHeight="false" outlineLevel="0" collapsed="false">
      <c r="A26" s="12" t="s">
        <v>78</v>
      </c>
      <c r="B26" s="2" t="n">
        <f aca="false">COUNTIFS(arvores!$D$2:$D$673,$A26,arvores!$B$2:$B$673,B$2)</f>
        <v>0</v>
      </c>
      <c r="C26" s="2" t="n">
        <f aca="false">COUNTIFS(arvores!$D$2:$D$673,$A26,arvores!$B$2:$B$673,C$2)</f>
        <v>0</v>
      </c>
      <c r="D26" s="2" t="n">
        <f aca="false">COUNTIFS(arvores!$D$2:$D$673,$A26,arvores!$B$2:$B$673,D$2)</f>
        <v>0</v>
      </c>
      <c r="E26" s="2" t="n">
        <f aca="false">COUNTIFS(arvores!$D$2:$D$673,$A26,arvores!$B$2:$B$673,E$2)</f>
        <v>0</v>
      </c>
      <c r="F26" s="2" t="n">
        <f aca="false">COUNTIFS(arvores!$D$2:$D$673,$A26,arvores!$B$2:$B$673,F$2)</f>
        <v>0</v>
      </c>
      <c r="G26" s="2" t="n">
        <f aca="false">COUNTIFS(arvores!$D$2:$D$673,$A26,arvores!$B$2:$B$673,G$2)</f>
        <v>0</v>
      </c>
      <c r="H26" s="2" t="n">
        <f aca="false">COUNTIFS(arvores!$D$2:$D$673,$A26,arvores!$B$2:$B$673,H$2)</f>
        <v>0</v>
      </c>
      <c r="I26" s="2" t="n">
        <f aca="false">COUNTIFS(arvores!$D$2:$D$673,$A26,arvores!$B$2:$B$673,I$2)</f>
        <v>0</v>
      </c>
      <c r="J26" s="2" t="n">
        <f aca="false">COUNTIFS(arvores!$D$2:$D$673,$A26,arvores!$B$2:$B$673,J$2)</f>
        <v>0</v>
      </c>
      <c r="K26" s="2" t="n">
        <f aca="false">COUNTIFS(arvores!$D$2:$D$673,$A26,arvores!$B$2:$B$673,K$2)</f>
        <v>0</v>
      </c>
      <c r="L26" s="2" t="n">
        <f aca="false">COUNTIFS(arvores!$D$2:$D$673,$A26,arvores!$B$2:$B$673,L$2)</f>
        <v>0</v>
      </c>
      <c r="M26" s="2" t="n">
        <f aca="false">COUNTIFS(arvores!$D$2:$D$673,$A26,arvores!$B$2:$B$673,M$2)</f>
        <v>0</v>
      </c>
      <c r="N26" s="2" t="n">
        <f aca="false">COUNTIFS(arvores!$D$2:$D$673,$A26,arvores!$B$2:$B$673,N$2)</f>
        <v>2</v>
      </c>
      <c r="O26" s="2" t="n">
        <f aca="false">COUNTIFS(arvores!$D$2:$D$673,$A26,arvores!$B$2:$B$673,O$2)</f>
        <v>0</v>
      </c>
      <c r="P26" s="2" t="n">
        <f aca="false">COUNTIFS(arvores!$D$2:$D$673,$A26,arvores!$B$2:$B$673,P$2)</f>
        <v>0</v>
      </c>
      <c r="Q26" s="4" t="n">
        <f aca="false">SUM(B26:P26)</f>
        <v>2</v>
      </c>
    </row>
    <row r="27" customFormat="false" ht="15" hidden="false" customHeight="false" outlineLevel="0" collapsed="false">
      <c r="A27" s="12" t="s">
        <v>76</v>
      </c>
      <c r="B27" s="2" t="n">
        <f aca="false">COUNTIFS(arvores!$D$2:$D$673,$A27,arvores!$B$2:$B$673,B$2)</f>
        <v>0</v>
      </c>
      <c r="C27" s="2" t="n">
        <f aca="false">COUNTIFS(arvores!$D$2:$D$673,$A27,arvores!$B$2:$B$673,C$2)</f>
        <v>0</v>
      </c>
      <c r="D27" s="2" t="n">
        <f aca="false">COUNTIFS(arvores!$D$2:$D$673,$A27,arvores!$B$2:$B$673,D$2)</f>
        <v>0</v>
      </c>
      <c r="E27" s="2" t="n">
        <f aca="false">COUNTIFS(arvores!$D$2:$D$673,$A27,arvores!$B$2:$B$673,E$2)</f>
        <v>0</v>
      </c>
      <c r="F27" s="2" t="n">
        <f aca="false">COUNTIFS(arvores!$D$2:$D$673,$A27,arvores!$B$2:$B$673,F$2)</f>
        <v>0</v>
      </c>
      <c r="G27" s="2" t="n">
        <f aca="false">COUNTIFS(arvores!$D$2:$D$673,$A27,arvores!$B$2:$B$673,G$2)</f>
        <v>0</v>
      </c>
      <c r="H27" s="2" t="n">
        <f aca="false">COUNTIFS(arvores!$D$2:$D$673,$A27,arvores!$B$2:$B$673,H$2)</f>
        <v>0</v>
      </c>
      <c r="I27" s="2" t="n">
        <f aca="false">COUNTIFS(arvores!$D$2:$D$673,$A27,arvores!$B$2:$B$673,I$2)</f>
        <v>0</v>
      </c>
      <c r="J27" s="2" t="n">
        <f aca="false">COUNTIFS(arvores!$D$2:$D$673,$A27,arvores!$B$2:$B$673,J$2)</f>
        <v>0</v>
      </c>
      <c r="K27" s="2" t="n">
        <f aca="false">COUNTIFS(arvores!$D$2:$D$673,$A27,arvores!$B$2:$B$673,K$2)</f>
        <v>0</v>
      </c>
      <c r="L27" s="2" t="n">
        <f aca="false">COUNTIFS(arvores!$D$2:$D$673,$A27,arvores!$B$2:$B$673,L$2)</f>
        <v>0</v>
      </c>
      <c r="M27" s="2" t="n">
        <f aca="false">COUNTIFS(arvores!$D$2:$D$673,$A27,arvores!$B$2:$B$673,M$2)</f>
        <v>0</v>
      </c>
      <c r="N27" s="2" t="n">
        <f aca="false">COUNTIFS(arvores!$D$2:$D$673,$A27,arvores!$B$2:$B$673,N$2)</f>
        <v>2</v>
      </c>
      <c r="O27" s="2" t="n">
        <f aca="false">COUNTIFS(arvores!$D$2:$D$673,$A27,arvores!$B$2:$B$673,O$2)</f>
        <v>0</v>
      </c>
      <c r="P27" s="2" t="n">
        <f aca="false">COUNTIFS(arvores!$D$2:$D$673,$A27,arvores!$B$2:$B$673,P$2)</f>
        <v>0</v>
      </c>
      <c r="Q27" s="4" t="n">
        <f aca="false">SUM(B27:P27)</f>
        <v>2</v>
      </c>
    </row>
    <row r="28" customFormat="false" ht="15" hidden="false" customHeight="false" outlineLevel="0" collapsed="false">
      <c r="A28" s="12" t="s">
        <v>62</v>
      </c>
      <c r="B28" s="2" t="n">
        <f aca="false">COUNTIFS(arvores!$D$2:$D$673,$A28,arvores!$B$2:$B$673,B$2)</f>
        <v>0</v>
      </c>
      <c r="C28" s="2" t="n">
        <f aca="false">COUNTIFS(arvores!$D$2:$D$673,$A28,arvores!$B$2:$B$673,C$2)</f>
        <v>0</v>
      </c>
      <c r="D28" s="2" t="n">
        <f aca="false">COUNTIFS(arvores!$D$2:$D$673,$A28,arvores!$B$2:$B$673,D$2)</f>
        <v>0</v>
      </c>
      <c r="E28" s="2" t="n">
        <f aca="false">COUNTIFS(arvores!$D$2:$D$673,$A28,arvores!$B$2:$B$673,E$2)</f>
        <v>0</v>
      </c>
      <c r="F28" s="2" t="n">
        <f aca="false">COUNTIFS(arvores!$D$2:$D$673,$A28,arvores!$B$2:$B$673,F$2)</f>
        <v>0</v>
      </c>
      <c r="G28" s="2" t="n">
        <f aca="false">COUNTIFS(arvores!$D$2:$D$673,$A28,arvores!$B$2:$B$673,G$2)</f>
        <v>0</v>
      </c>
      <c r="H28" s="2" t="n">
        <f aca="false">COUNTIFS(arvores!$D$2:$D$673,$A28,arvores!$B$2:$B$673,H$2)</f>
        <v>0</v>
      </c>
      <c r="I28" s="2" t="n">
        <f aca="false">COUNTIFS(arvores!$D$2:$D$673,$A28,arvores!$B$2:$B$673,I$2)</f>
        <v>1</v>
      </c>
      <c r="J28" s="2" t="n">
        <f aca="false">COUNTIFS(arvores!$D$2:$D$673,$A28,arvores!$B$2:$B$673,J$2)</f>
        <v>0</v>
      </c>
      <c r="K28" s="2" t="n">
        <f aca="false">COUNTIFS(arvores!$D$2:$D$673,$A28,arvores!$B$2:$B$673,K$2)</f>
        <v>0</v>
      </c>
      <c r="L28" s="2" t="n">
        <f aca="false">COUNTIFS(arvores!$D$2:$D$673,$A28,arvores!$B$2:$B$673,L$2)</f>
        <v>0</v>
      </c>
      <c r="M28" s="2" t="n">
        <f aca="false">COUNTIFS(arvores!$D$2:$D$673,$A28,arvores!$B$2:$B$673,M$2)</f>
        <v>0</v>
      </c>
      <c r="N28" s="2" t="n">
        <f aca="false">COUNTIFS(arvores!$D$2:$D$673,$A28,arvores!$B$2:$B$673,N$2)</f>
        <v>0</v>
      </c>
      <c r="O28" s="2" t="n">
        <f aca="false">COUNTIFS(arvores!$D$2:$D$673,$A28,arvores!$B$2:$B$673,O$2)</f>
        <v>0</v>
      </c>
      <c r="P28" s="2" t="n">
        <f aca="false">COUNTIFS(arvores!$D$2:$D$673,$A28,arvores!$B$2:$B$673,P$2)</f>
        <v>0</v>
      </c>
      <c r="Q28" s="4" t="n">
        <f aca="false">SUM(B28:P28)</f>
        <v>1</v>
      </c>
    </row>
    <row r="29" customFormat="false" ht="15" hidden="false" customHeight="false" outlineLevel="0" collapsed="false">
      <c r="A29" s="12" t="s">
        <v>41</v>
      </c>
      <c r="B29" s="2" t="n">
        <f aca="false">COUNTIFS(arvores!$D$2:$D$673,$A29,arvores!$B$2:$B$673,B$2)</f>
        <v>1</v>
      </c>
      <c r="C29" s="2" t="n">
        <f aca="false">COUNTIFS(arvores!$D$2:$D$673,$A29,arvores!$B$2:$B$673,C$2)</f>
        <v>0</v>
      </c>
      <c r="D29" s="2" t="n">
        <f aca="false">COUNTIFS(arvores!$D$2:$D$673,$A29,arvores!$B$2:$B$673,D$2)</f>
        <v>0</v>
      </c>
      <c r="E29" s="2" t="n">
        <f aca="false">COUNTIFS(arvores!$D$2:$D$673,$A29,arvores!$B$2:$B$673,E$2)</f>
        <v>0</v>
      </c>
      <c r="F29" s="2" t="n">
        <f aca="false">COUNTIFS(arvores!$D$2:$D$673,$A29,arvores!$B$2:$B$673,F$2)</f>
        <v>0</v>
      </c>
      <c r="G29" s="2" t="n">
        <f aca="false">COUNTIFS(arvores!$D$2:$D$673,$A29,arvores!$B$2:$B$673,G$2)</f>
        <v>0</v>
      </c>
      <c r="H29" s="2" t="n">
        <f aca="false">COUNTIFS(arvores!$D$2:$D$673,$A29,arvores!$B$2:$B$673,H$2)</f>
        <v>0</v>
      </c>
      <c r="I29" s="2" t="n">
        <f aca="false">COUNTIFS(arvores!$D$2:$D$673,$A29,arvores!$B$2:$B$673,I$2)</f>
        <v>0</v>
      </c>
      <c r="J29" s="2" t="n">
        <f aca="false">COUNTIFS(arvores!$D$2:$D$673,$A29,arvores!$B$2:$B$673,J$2)</f>
        <v>0</v>
      </c>
      <c r="K29" s="2" t="n">
        <f aca="false">COUNTIFS(arvores!$D$2:$D$673,$A29,arvores!$B$2:$B$673,K$2)</f>
        <v>0</v>
      </c>
      <c r="L29" s="2" t="n">
        <f aca="false">COUNTIFS(arvores!$D$2:$D$673,$A29,arvores!$B$2:$B$673,L$2)</f>
        <v>0</v>
      </c>
      <c r="M29" s="2" t="n">
        <f aca="false">COUNTIFS(arvores!$D$2:$D$673,$A29,arvores!$B$2:$B$673,M$2)</f>
        <v>0</v>
      </c>
      <c r="N29" s="2" t="n">
        <f aca="false">COUNTIFS(arvores!$D$2:$D$673,$A29,arvores!$B$2:$B$673,N$2)</f>
        <v>0</v>
      </c>
      <c r="O29" s="2" t="n">
        <f aca="false">COUNTIFS(arvores!$D$2:$D$673,$A29,arvores!$B$2:$B$673,O$2)</f>
        <v>0</v>
      </c>
      <c r="P29" s="2" t="n">
        <f aca="false">COUNTIFS(arvores!$D$2:$D$673,$A29,arvores!$B$2:$B$673,P$2)</f>
        <v>0</v>
      </c>
      <c r="Q29" s="4" t="n">
        <f aca="false">SUM(B29:P29)</f>
        <v>1</v>
      </c>
    </row>
    <row r="30" customFormat="false" ht="15" hidden="false" customHeight="false" outlineLevel="0" collapsed="false">
      <c r="A30" s="12" t="s">
        <v>46</v>
      </c>
      <c r="B30" s="2" t="n">
        <f aca="false">COUNTIFS(arvores!$D$2:$D$673,$A30,arvores!$B$2:$B$673,B$2)</f>
        <v>0</v>
      </c>
      <c r="C30" s="2" t="n">
        <f aca="false">COUNTIFS(arvores!$D$2:$D$673,$A30,arvores!$B$2:$B$673,C$2)</f>
        <v>2</v>
      </c>
      <c r="D30" s="2" t="n">
        <f aca="false">COUNTIFS(arvores!$D$2:$D$673,$A30,arvores!$B$2:$B$673,D$2)</f>
        <v>0</v>
      </c>
      <c r="E30" s="2" t="n">
        <f aca="false">COUNTIFS(arvores!$D$2:$D$673,$A30,arvores!$B$2:$B$673,E$2)</f>
        <v>0</v>
      </c>
      <c r="F30" s="2" t="n">
        <f aca="false">COUNTIFS(arvores!$D$2:$D$673,$A30,arvores!$B$2:$B$673,F$2)</f>
        <v>0</v>
      </c>
      <c r="G30" s="2" t="n">
        <f aca="false">COUNTIFS(arvores!$D$2:$D$673,$A30,arvores!$B$2:$B$673,G$2)</f>
        <v>0</v>
      </c>
      <c r="H30" s="2" t="n">
        <f aca="false">COUNTIFS(arvores!$D$2:$D$673,$A30,arvores!$B$2:$B$673,H$2)</f>
        <v>0</v>
      </c>
      <c r="I30" s="2" t="n">
        <f aca="false">COUNTIFS(arvores!$D$2:$D$673,$A30,arvores!$B$2:$B$673,I$2)</f>
        <v>0</v>
      </c>
      <c r="J30" s="2" t="n">
        <f aca="false">COUNTIFS(arvores!$D$2:$D$673,$A30,arvores!$B$2:$B$673,J$2)</f>
        <v>0</v>
      </c>
      <c r="K30" s="2" t="n">
        <f aca="false">COUNTIFS(arvores!$D$2:$D$673,$A30,arvores!$B$2:$B$673,K$2)</f>
        <v>0</v>
      </c>
      <c r="L30" s="2" t="n">
        <f aca="false">COUNTIFS(arvores!$D$2:$D$673,$A30,arvores!$B$2:$B$673,L$2)</f>
        <v>0</v>
      </c>
      <c r="M30" s="2" t="n">
        <f aca="false">COUNTIFS(arvores!$D$2:$D$673,$A30,arvores!$B$2:$B$673,M$2)</f>
        <v>0</v>
      </c>
      <c r="N30" s="2" t="n">
        <f aca="false">COUNTIFS(arvores!$D$2:$D$673,$A30,arvores!$B$2:$B$673,N$2)</f>
        <v>0</v>
      </c>
      <c r="O30" s="2" t="n">
        <f aca="false">COUNTIFS(arvores!$D$2:$D$673,$A30,arvores!$B$2:$B$673,O$2)</f>
        <v>0</v>
      </c>
      <c r="P30" s="2" t="n">
        <f aca="false">COUNTIFS(arvores!$D$2:$D$673,$A30,arvores!$B$2:$B$673,P$2)</f>
        <v>0</v>
      </c>
      <c r="Q30" s="4" t="n">
        <f aca="false">SUM(B30:P30)</f>
        <v>2</v>
      </c>
    </row>
    <row r="31" customFormat="false" ht="15" hidden="false" customHeight="false" outlineLevel="0" collapsed="false">
      <c r="A31" s="12" t="s">
        <v>69</v>
      </c>
      <c r="B31" s="2" t="n">
        <f aca="false">COUNTIFS(arvores!$D$2:$D$673,$A31,arvores!$B$2:$B$673,B$2)</f>
        <v>0</v>
      </c>
      <c r="C31" s="2" t="n">
        <f aca="false">COUNTIFS(arvores!$D$2:$D$673,$A31,arvores!$B$2:$B$673,C$2)</f>
        <v>0</v>
      </c>
      <c r="D31" s="2" t="n">
        <f aca="false">COUNTIFS(arvores!$D$2:$D$673,$A31,arvores!$B$2:$B$673,D$2)</f>
        <v>0</v>
      </c>
      <c r="E31" s="2" t="n">
        <f aca="false">COUNTIFS(arvores!$D$2:$D$673,$A31,arvores!$B$2:$B$673,E$2)</f>
        <v>0</v>
      </c>
      <c r="F31" s="2" t="n">
        <f aca="false">COUNTIFS(arvores!$D$2:$D$673,$A31,arvores!$B$2:$B$673,F$2)</f>
        <v>0</v>
      </c>
      <c r="G31" s="2" t="n">
        <f aca="false">COUNTIFS(arvores!$D$2:$D$673,$A31,arvores!$B$2:$B$673,G$2)</f>
        <v>0</v>
      </c>
      <c r="H31" s="2" t="n">
        <f aca="false">COUNTIFS(arvores!$D$2:$D$673,$A31,arvores!$B$2:$B$673,H$2)</f>
        <v>0</v>
      </c>
      <c r="I31" s="2" t="n">
        <f aca="false">COUNTIFS(arvores!$D$2:$D$673,$A31,arvores!$B$2:$B$673,I$2)</f>
        <v>0</v>
      </c>
      <c r="J31" s="2" t="n">
        <f aca="false">COUNTIFS(arvores!$D$2:$D$673,$A31,arvores!$B$2:$B$673,J$2)</f>
        <v>0</v>
      </c>
      <c r="K31" s="2" t="n">
        <f aca="false">COUNTIFS(arvores!$D$2:$D$673,$A31,arvores!$B$2:$B$673,K$2)</f>
        <v>1</v>
      </c>
      <c r="L31" s="2" t="n">
        <f aca="false">COUNTIFS(arvores!$D$2:$D$673,$A31,arvores!$B$2:$B$673,L$2)</f>
        <v>0</v>
      </c>
      <c r="M31" s="2" t="n">
        <f aca="false">COUNTIFS(arvores!$D$2:$D$673,$A31,arvores!$B$2:$B$673,M$2)</f>
        <v>0</v>
      </c>
      <c r="N31" s="2" t="n">
        <f aca="false">COUNTIFS(arvores!$D$2:$D$673,$A31,arvores!$B$2:$B$673,N$2)</f>
        <v>0</v>
      </c>
      <c r="O31" s="2" t="n">
        <f aca="false">COUNTIFS(arvores!$D$2:$D$673,$A31,arvores!$B$2:$B$673,O$2)</f>
        <v>0</v>
      </c>
      <c r="P31" s="2" t="n">
        <f aca="false">COUNTIFS(arvores!$D$2:$D$673,$A31,arvores!$B$2:$B$673,P$2)</f>
        <v>0</v>
      </c>
      <c r="Q31" s="4" t="n">
        <f aca="false">SUM(B31:P31)</f>
        <v>1</v>
      </c>
    </row>
    <row r="32" customFormat="false" ht="15" hidden="false" customHeight="false" outlineLevel="0" collapsed="false">
      <c r="A32" s="12" t="s">
        <v>63</v>
      </c>
      <c r="B32" s="2" t="n">
        <f aca="false">COUNTIFS(arvores!$D$2:$D$673,$A32,arvores!$B$2:$B$673,B$2)</f>
        <v>0</v>
      </c>
      <c r="C32" s="2" t="n">
        <f aca="false">COUNTIFS(arvores!$D$2:$D$673,$A32,arvores!$B$2:$B$673,C$2)</f>
        <v>0</v>
      </c>
      <c r="D32" s="2" t="n">
        <f aca="false">COUNTIFS(arvores!$D$2:$D$673,$A32,arvores!$B$2:$B$673,D$2)</f>
        <v>0</v>
      </c>
      <c r="E32" s="2" t="n">
        <f aca="false">COUNTIFS(arvores!$D$2:$D$673,$A32,arvores!$B$2:$B$673,E$2)</f>
        <v>0</v>
      </c>
      <c r="F32" s="2" t="n">
        <f aca="false">COUNTIFS(arvores!$D$2:$D$673,$A32,arvores!$B$2:$B$673,F$2)</f>
        <v>0</v>
      </c>
      <c r="G32" s="2" t="n">
        <f aca="false">COUNTIFS(arvores!$D$2:$D$673,$A32,arvores!$B$2:$B$673,G$2)</f>
        <v>0</v>
      </c>
      <c r="H32" s="2" t="n">
        <f aca="false">COUNTIFS(arvores!$D$2:$D$673,$A32,arvores!$B$2:$B$673,H$2)</f>
        <v>0</v>
      </c>
      <c r="I32" s="2" t="n">
        <f aca="false">COUNTIFS(arvores!$D$2:$D$673,$A32,arvores!$B$2:$B$673,I$2)</f>
        <v>1</v>
      </c>
      <c r="J32" s="2" t="n">
        <f aca="false">COUNTIFS(arvores!$D$2:$D$673,$A32,arvores!$B$2:$B$673,J$2)</f>
        <v>0</v>
      </c>
      <c r="K32" s="2" t="n">
        <f aca="false">COUNTIFS(arvores!$D$2:$D$673,$A32,arvores!$B$2:$B$673,K$2)</f>
        <v>0</v>
      </c>
      <c r="L32" s="2" t="n">
        <f aca="false">COUNTIFS(arvores!$D$2:$D$673,$A32,arvores!$B$2:$B$673,L$2)</f>
        <v>0</v>
      </c>
      <c r="M32" s="2" t="n">
        <f aca="false">COUNTIFS(arvores!$D$2:$D$673,$A32,arvores!$B$2:$B$673,M$2)</f>
        <v>0</v>
      </c>
      <c r="N32" s="2" t="n">
        <f aca="false">COUNTIFS(arvores!$D$2:$D$673,$A32,arvores!$B$2:$B$673,N$2)</f>
        <v>0</v>
      </c>
      <c r="O32" s="2" t="n">
        <f aca="false">COUNTIFS(arvores!$D$2:$D$673,$A32,arvores!$B$2:$B$673,O$2)</f>
        <v>0</v>
      </c>
      <c r="P32" s="2" t="n">
        <f aca="false">COUNTIFS(arvores!$D$2:$D$673,$A32,arvores!$B$2:$B$673,P$2)</f>
        <v>0</v>
      </c>
      <c r="Q32" s="4" t="n">
        <f aca="false">SUM(B32:P32)</f>
        <v>1</v>
      </c>
    </row>
    <row r="33" customFormat="false" ht="15" hidden="false" customHeight="false" outlineLevel="0" collapsed="false">
      <c r="A33" s="12" t="s">
        <v>58</v>
      </c>
      <c r="B33" s="2" t="n">
        <f aca="false">COUNTIFS(arvores!$D$2:$D$673,$A33,arvores!$B$2:$B$673,B$2)</f>
        <v>0</v>
      </c>
      <c r="C33" s="2" t="n">
        <f aca="false">COUNTIFS(arvores!$D$2:$D$673,$A33,arvores!$B$2:$B$673,C$2)</f>
        <v>0</v>
      </c>
      <c r="D33" s="2" t="n">
        <f aca="false">COUNTIFS(arvores!$D$2:$D$673,$A33,arvores!$B$2:$B$673,D$2)</f>
        <v>0</v>
      </c>
      <c r="E33" s="2" t="n">
        <f aca="false">COUNTIFS(arvores!$D$2:$D$673,$A33,arvores!$B$2:$B$673,E$2)</f>
        <v>0</v>
      </c>
      <c r="F33" s="2" t="n">
        <f aca="false">COUNTIFS(arvores!$D$2:$D$673,$A33,arvores!$B$2:$B$673,F$2)</f>
        <v>0</v>
      </c>
      <c r="G33" s="2" t="n">
        <f aca="false">COUNTIFS(arvores!$D$2:$D$673,$A33,arvores!$B$2:$B$673,G$2)</f>
        <v>0</v>
      </c>
      <c r="H33" s="2" t="n">
        <f aca="false">COUNTIFS(arvores!$D$2:$D$673,$A33,arvores!$B$2:$B$673,H$2)</f>
        <v>1</v>
      </c>
      <c r="I33" s="2" t="n">
        <f aca="false">COUNTIFS(arvores!$D$2:$D$673,$A33,arvores!$B$2:$B$673,I$2)</f>
        <v>0</v>
      </c>
      <c r="J33" s="2" t="n">
        <f aca="false">COUNTIFS(arvores!$D$2:$D$673,$A33,arvores!$B$2:$B$673,J$2)</f>
        <v>0</v>
      </c>
      <c r="K33" s="2" t="n">
        <f aca="false">COUNTIFS(arvores!$D$2:$D$673,$A33,arvores!$B$2:$B$673,K$2)</f>
        <v>0</v>
      </c>
      <c r="L33" s="2" t="n">
        <f aca="false">COUNTIFS(arvores!$D$2:$D$673,$A33,arvores!$B$2:$B$673,L$2)</f>
        <v>0</v>
      </c>
      <c r="M33" s="2" t="n">
        <f aca="false">COUNTIFS(arvores!$D$2:$D$673,$A33,arvores!$B$2:$B$673,M$2)</f>
        <v>0</v>
      </c>
      <c r="N33" s="2" t="n">
        <f aca="false">COUNTIFS(arvores!$D$2:$D$673,$A33,arvores!$B$2:$B$673,N$2)</f>
        <v>0</v>
      </c>
      <c r="O33" s="2" t="n">
        <f aca="false">COUNTIFS(arvores!$D$2:$D$673,$A33,arvores!$B$2:$B$673,O$2)</f>
        <v>0</v>
      </c>
      <c r="P33" s="2" t="n">
        <f aca="false">COUNTIFS(arvores!$D$2:$D$673,$A33,arvores!$B$2:$B$673,P$2)</f>
        <v>0</v>
      </c>
      <c r="Q33" s="4" t="n">
        <f aca="false">SUM(B33:P33)</f>
        <v>1</v>
      </c>
    </row>
    <row r="34" customFormat="false" ht="15" hidden="false" customHeight="false" outlineLevel="0" collapsed="false">
      <c r="A34" s="12" t="s">
        <v>54</v>
      </c>
      <c r="B34" s="2" t="n">
        <f aca="false">COUNTIFS(arvores!$D$2:$D$673,$A34,arvores!$B$2:$B$673,B$2)</f>
        <v>0</v>
      </c>
      <c r="C34" s="2" t="n">
        <f aca="false">COUNTIFS(arvores!$D$2:$D$673,$A34,arvores!$B$2:$B$673,C$2)</f>
        <v>0</v>
      </c>
      <c r="D34" s="2" t="n">
        <f aca="false">COUNTIFS(arvores!$D$2:$D$673,$A34,arvores!$B$2:$B$673,D$2)</f>
        <v>0</v>
      </c>
      <c r="E34" s="2" t="n">
        <f aca="false">COUNTIFS(arvores!$D$2:$D$673,$A34,arvores!$B$2:$B$673,E$2)</f>
        <v>0</v>
      </c>
      <c r="F34" s="2" t="n">
        <f aca="false">COUNTIFS(arvores!$D$2:$D$673,$A34,arvores!$B$2:$B$673,F$2)</f>
        <v>0</v>
      </c>
      <c r="G34" s="2" t="n">
        <f aca="false">COUNTIFS(arvores!$D$2:$D$673,$A34,arvores!$B$2:$B$673,G$2)</f>
        <v>1</v>
      </c>
      <c r="H34" s="2" t="n">
        <f aca="false">COUNTIFS(arvores!$D$2:$D$673,$A34,arvores!$B$2:$B$673,H$2)</f>
        <v>0</v>
      </c>
      <c r="I34" s="2" t="n">
        <f aca="false">COUNTIFS(arvores!$D$2:$D$673,$A34,arvores!$B$2:$B$673,I$2)</f>
        <v>0</v>
      </c>
      <c r="J34" s="2" t="n">
        <f aca="false">COUNTIFS(arvores!$D$2:$D$673,$A34,arvores!$B$2:$B$673,J$2)</f>
        <v>0</v>
      </c>
      <c r="K34" s="2" t="n">
        <f aca="false">COUNTIFS(arvores!$D$2:$D$673,$A34,arvores!$B$2:$B$673,K$2)</f>
        <v>0</v>
      </c>
      <c r="L34" s="2" t="n">
        <f aca="false">COUNTIFS(arvores!$D$2:$D$673,$A34,arvores!$B$2:$B$673,L$2)</f>
        <v>0</v>
      </c>
      <c r="M34" s="2" t="n">
        <f aca="false">COUNTIFS(arvores!$D$2:$D$673,$A34,arvores!$B$2:$B$673,M$2)</f>
        <v>0</v>
      </c>
      <c r="N34" s="2" t="n">
        <f aca="false">COUNTIFS(arvores!$D$2:$D$673,$A34,arvores!$B$2:$B$673,N$2)</f>
        <v>0</v>
      </c>
      <c r="O34" s="2" t="n">
        <f aca="false">COUNTIFS(arvores!$D$2:$D$673,$A34,arvores!$B$2:$B$673,O$2)</f>
        <v>0</v>
      </c>
      <c r="P34" s="2" t="n">
        <f aca="false">COUNTIFS(arvores!$D$2:$D$673,$A34,arvores!$B$2:$B$673,P$2)</f>
        <v>0</v>
      </c>
      <c r="Q34" s="4" t="n">
        <f aca="false">SUM(B34:P34)</f>
        <v>1</v>
      </c>
    </row>
    <row r="35" customFormat="false" ht="15" hidden="false" customHeight="false" outlineLevel="0" collapsed="false">
      <c r="A35" s="12" t="s">
        <v>67</v>
      </c>
      <c r="B35" s="2" t="n">
        <f aca="false">COUNTIFS(arvores!$D$2:$D$673,$A35,arvores!$B$2:$B$673,B$2)</f>
        <v>0</v>
      </c>
      <c r="C35" s="2" t="n">
        <f aca="false">COUNTIFS(arvores!$D$2:$D$673,$A35,arvores!$B$2:$B$673,C$2)</f>
        <v>0</v>
      </c>
      <c r="D35" s="2" t="n">
        <f aca="false">COUNTIFS(arvores!$D$2:$D$673,$A35,arvores!$B$2:$B$673,D$2)</f>
        <v>0</v>
      </c>
      <c r="E35" s="2" t="n">
        <f aca="false">COUNTIFS(arvores!$D$2:$D$673,$A35,arvores!$B$2:$B$673,E$2)</f>
        <v>0</v>
      </c>
      <c r="F35" s="2" t="n">
        <f aca="false">COUNTIFS(arvores!$D$2:$D$673,$A35,arvores!$B$2:$B$673,F$2)</f>
        <v>0</v>
      </c>
      <c r="G35" s="2" t="n">
        <f aca="false">COUNTIFS(arvores!$D$2:$D$673,$A35,arvores!$B$2:$B$673,G$2)</f>
        <v>0</v>
      </c>
      <c r="H35" s="2" t="n">
        <f aca="false">COUNTIFS(arvores!$D$2:$D$673,$A35,arvores!$B$2:$B$673,H$2)</f>
        <v>0</v>
      </c>
      <c r="I35" s="2" t="n">
        <f aca="false">COUNTIFS(arvores!$D$2:$D$673,$A35,arvores!$B$2:$B$673,I$2)</f>
        <v>0</v>
      </c>
      <c r="J35" s="2" t="n">
        <f aca="false">COUNTIFS(arvores!$D$2:$D$673,$A35,arvores!$B$2:$B$673,J$2)</f>
        <v>1</v>
      </c>
      <c r="K35" s="2" t="n">
        <f aca="false">COUNTIFS(arvores!$D$2:$D$673,$A35,arvores!$B$2:$B$673,K$2)</f>
        <v>0</v>
      </c>
      <c r="L35" s="2" t="n">
        <f aca="false">COUNTIFS(arvores!$D$2:$D$673,$A35,arvores!$B$2:$B$673,L$2)</f>
        <v>0</v>
      </c>
      <c r="M35" s="2" t="n">
        <f aca="false">COUNTIFS(arvores!$D$2:$D$673,$A35,arvores!$B$2:$B$673,M$2)</f>
        <v>0</v>
      </c>
      <c r="N35" s="2" t="n">
        <f aca="false">COUNTIFS(arvores!$D$2:$D$673,$A35,arvores!$B$2:$B$673,N$2)</f>
        <v>0</v>
      </c>
      <c r="O35" s="2" t="n">
        <f aca="false">COUNTIFS(arvores!$D$2:$D$673,$A35,arvores!$B$2:$B$673,O$2)</f>
        <v>0</v>
      </c>
      <c r="P35" s="2" t="n">
        <f aca="false">COUNTIFS(arvores!$D$2:$D$673,$A35,arvores!$B$2:$B$673,P$2)</f>
        <v>0</v>
      </c>
      <c r="Q35" s="4" t="n">
        <f aca="false">SUM(B35:P35)</f>
        <v>1</v>
      </c>
    </row>
    <row r="36" customFormat="false" ht="15" hidden="false" customHeight="false" outlineLevel="0" collapsed="false">
      <c r="A36" s="12" t="s">
        <v>47</v>
      </c>
      <c r="B36" s="2" t="n">
        <f aca="false">COUNTIFS(arvores!$D$2:$D$673,$A36,arvores!$B$2:$B$673,B$2)</f>
        <v>0</v>
      </c>
      <c r="C36" s="2" t="n">
        <f aca="false">COUNTIFS(arvores!$D$2:$D$673,$A36,arvores!$B$2:$B$673,C$2)</f>
        <v>1</v>
      </c>
      <c r="D36" s="2" t="n">
        <f aca="false">COUNTIFS(arvores!$D$2:$D$673,$A36,arvores!$B$2:$B$673,D$2)</f>
        <v>0</v>
      </c>
      <c r="E36" s="2" t="n">
        <f aca="false">COUNTIFS(arvores!$D$2:$D$673,$A36,arvores!$B$2:$B$673,E$2)</f>
        <v>0</v>
      </c>
      <c r="F36" s="2" t="n">
        <f aca="false">COUNTIFS(arvores!$D$2:$D$673,$A36,arvores!$B$2:$B$673,F$2)</f>
        <v>0</v>
      </c>
      <c r="G36" s="2" t="n">
        <f aca="false">COUNTIFS(arvores!$D$2:$D$673,$A36,arvores!$B$2:$B$673,G$2)</f>
        <v>0</v>
      </c>
      <c r="H36" s="2" t="n">
        <f aca="false">COUNTIFS(arvores!$D$2:$D$673,$A36,arvores!$B$2:$B$673,H$2)</f>
        <v>0</v>
      </c>
      <c r="I36" s="2" t="n">
        <f aca="false">COUNTIFS(arvores!$D$2:$D$673,$A36,arvores!$B$2:$B$673,I$2)</f>
        <v>0</v>
      </c>
      <c r="J36" s="2" t="n">
        <f aca="false">COUNTIFS(arvores!$D$2:$D$673,$A36,arvores!$B$2:$B$673,J$2)</f>
        <v>0</v>
      </c>
      <c r="K36" s="2" t="n">
        <f aca="false">COUNTIFS(arvores!$D$2:$D$673,$A36,arvores!$B$2:$B$673,K$2)</f>
        <v>0</v>
      </c>
      <c r="L36" s="2" t="n">
        <f aca="false">COUNTIFS(arvores!$D$2:$D$673,$A36,arvores!$B$2:$B$673,L$2)</f>
        <v>0</v>
      </c>
      <c r="M36" s="2" t="n">
        <f aca="false">COUNTIFS(arvores!$D$2:$D$673,$A36,arvores!$B$2:$B$673,M$2)</f>
        <v>0</v>
      </c>
      <c r="N36" s="2" t="n">
        <f aca="false">COUNTIFS(arvores!$D$2:$D$673,$A36,arvores!$B$2:$B$673,N$2)</f>
        <v>0</v>
      </c>
      <c r="O36" s="2" t="n">
        <f aca="false">COUNTIFS(arvores!$D$2:$D$673,$A36,arvores!$B$2:$B$673,O$2)</f>
        <v>0</v>
      </c>
      <c r="P36" s="2" t="n">
        <f aca="false">COUNTIFS(arvores!$D$2:$D$673,$A36,arvores!$B$2:$B$673,P$2)</f>
        <v>0</v>
      </c>
      <c r="Q36" s="4" t="n">
        <f aca="false">SUM(B36:P36)</f>
        <v>1</v>
      </c>
    </row>
    <row r="37" customFormat="false" ht="15" hidden="false" customHeight="false" outlineLevel="0" collapsed="false">
      <c r="A37" s="12" t="s">
        <v>55</v>
      </c>
      <c r="B37" s="2" t="n">
        <f aca="false">COUNTIFS(arvores!$D$2:$D$673,$A37,arvores!$B$2:$B$673,B$2)</f>
        <v>0</v>
      </c>
      <c r="C37" s="2" t="n">
        <f aca="false">COUNTIFS(arvores!$D$2:$D$673,$A37,arvores!$B$2:$B$673,C$2)</f>
        <v>0</v>
      </c>
      <c r="D37" s="2" t="n">
        <f aca="false">COUNTIFS(arvores!$D$2:$D$673,$A37,arvores!$B$2:$B$673,D$2)</f>
        <v>0</v>
      </c>
      <c r="E37" s="2" t="n">
        <f aca="false">COUNTIFS(arvores!$D$2:$D$673,$A37,arvores!$B$2:$B$673,E$2)</f>
        <v>0</v>
      </c>
      <c r="F37" s="2" t="n">
        <f aca="false">COUNTIFS(arvores!$D$2:$D$673,$A37,arvores!$B$2:$B$673,F$2)</f>
        <v>0</v>
      </c>
      <c r="G37" s="2" t="n">
        <f aca="false">COUNTIFS(arvores!$D$2:$D$673,$A37,arvores!$B$2:$B$673,G$2)</f>
        <v>1</v>
      </c>
      <c r="H37" s="2" t="n">
        <f aca="false">COUNTIFS(arvores!$D$2:$D$673,$A37,arvores!$B$2:$B$673,H$2)</f>
        <v>0</v>
      </c>
      <c r="I37" s="2" t="n">
        <f aca="false">COUNTIFS(arvores!$D$2:$D$673,$A37,arvores!$B$2:$B$673,I$2)</f>
        <v>0</v>
      </c>
      <c r="J37" s="2" t="n">
        <f aca="false">COUNTIFS(arvores!$D$2:$D$673,$A37,arvores!$B$2:$B$673,J$2)</f>
        <v>0</v>
      </c>
      <c r="K37" s="2" t="n">
        <f aca="false">COUNTIFS(arvores!$D$2:$D$673,$A37,arvores!$B$2:$B$673,K$2)</f>
        <v>0</v>
      </c>
      <c r="L37" s="2" t="n">
        <f aca="false">COUNTIFS(arvores!$D$2:$D$673,$A37,arvores!$B$2:$B$673,L$2)</f>
        <v>0</v>
      </c>
      <c r="M37" s="2" t="n">
        <f aca="false">COUNTIFS(arvores!$D$2:$D$673,$A37,arvores!$B$2:$B$673,M$2)</f>
        <v>0</v>
      </c>
      <c r="N37" s="2" t="n">
        <f aca="false">COUNTIFS(arvores!$D$2:$D$673,$A37,arvores!$B$2:$B$673,N$2)</f>
        <v>0</v>
      </c>
      <c r="O37" s="2" t="n">
        <f aca="false">COUNTIFS(arvores!$D$2:$D$673,$A37,arvores!$B$2:$B$673,O$2)</f>
        <v>0</v>
      </c>
      <c r="P37" s="2" t="n">
        <f aca="false">COUNTIFS(arvores!$D$2:$D$673,$A37,arvores!$B$2:$B$673,P$2)</f>
        <v>0</v>
      </c>
      <c r="Q37" s="4" t="n">
        <f aca="false">SUM(B37:P37)</f>
        <v>1</v>
      </c>
    </row>
    <row r="38" customFormat="false" ht="15" hidden="false" customHeight="false" outlineLevel="0" collapsed="false">
      <c r="A38" s="12" t="s">
        <v>49</v>
      </c>
      <c r="B38" s="2" t="n">
        <f aca="false">COUNTIFS(arvores!$D$2:$D$673,$A38,arvores!$B$2:$B$673,B$2)</f>
        <v>0</v>
      </c>
      <c r="C38" s="2" t="n">
        <f aca="false">COUNTIFS(arvores!$D$2:$D$673,$A38,arvores!$B$2:$B$673,C$2)</f>
        <v>0</v>
      </c>
      <c r="D38" s="2" t="n">
        <f aca="false">COUNTIFS(arvores!$D$2:$D$673,$A38,arvores!$B$2:$B$673,D$2)</f>
        <v>0</v>
      </c>
      <c r="E38" s="2" t="n">
        <f aca="false">COUNTIFS(arvores!$D$2:$D$673,$A38,arvores!$B$2:$B$673,E$2)</f>
        <v>1</v>
      </c>
      <c r="F38" s="2" t="n">
        <f aca="false">COUNTIFS(arvores!$D$2:$D$673,$A38,arvores!$B$2:$B$673,F$2)</f>
        <v>0</v>
      </c>
      <c r="G38" s="2" t="n">
        <f aca="false">COUNTIFS(arvores!$D$2:$D$673,$A38,arvores!$B$2:$B$673,G$2)</f>
        <v>0</v>
      </c>
      <c r="H38" s="2" t="n">
        <f aca="false">COUNTIFS(arvores!$D$2:$D$673,$A38,arvores!$B$2:$B$673,H$2)</f>
        <v>0</v>
      </c>
      <c r="I38" s="2" t="n">
        <f aca="false">COUNTIFS(arvores!$D$2:$D$673,$A38,arvores!$B$2:$B$673,I$2)</f>
        <v>0</v>
      </c>
      <c r="J38" s="2" t="n">
        <f aca="false">COUNTIFS(arvores!$D$2:$D$673,$A38,arvores!$B$2:$B$673,J$2)</f>
        <v>0</v>
      </c>
      <c r="K38" s="2" t="n">
        <f aca="false">COUNTIFS(arvores!$D$2:$D$673,$A38,arvores!$B$2:$B$673,K$2)</f>
        <v>0</v>
      </c>
      <c r="L38" s="2" t="n">
        <f aca="false">COUNTIFS(arvores!$D$2:$D$673,$A38,arvores!$B$2:$B$673,L$2)</f>
        <v>0</v>
      </c>
      <c r="M38" s="2" t="n">
        <f aca="false">COUNTIFS(arvores!$D$2:$D$673,$A38,arvores!$B$2:$B$673,M$2)</f>
        <v>0</v>
      </c>
      <c r="N38" s="2" t="n">
        <f aca="false">COUNTIFS(arvores!$D$2:$D$673,$A38,arvores!$B$2:$B$673,N$2)</f>
        <v>0</v>
      </c>
      <c r="O38" s="2" t="n">
        <f aca="false">COUNTIFS(arvores!$D$2:$D$673,$A38,arvores!$B$2:$B$673,O$2)</f>
        <v>0</v>
      </c>
      <c r="P38" s="2" t="n">
        <f aca="false">COUNTIFS(arvores!$D$2:$D$673,$A38,arvores!$B$2:$B$673,P$2)</f>
        <v>0</v>
      </c>
      <c r="Q38" s="4" t="n">
        <f aca="false">SUM(B38:P38)</f>
        <v>1</v>
      </c>
    </row>
    <row r="39" customFormat="false" ht="15" hidden="false" customHeight="false" outlineLevel="0" collapsed="false">
      <c r="A39" s="12" t="s">
        <v>73</v>
      </c>
      <c r="B39" s="2" t="n">
        <f aca="false">COUNTIFS(arvores!$D$2:$D$673,$A39,arvores!$B$2:$B$673,B$2)</f>
        <v>0</v>
      </c>
      <c r="C39" s="2" t="n">
        <f aca="false">COUNTIFS(arvores!$D$2:$D$673,$A39,arvores!$B$2:$B$673,C$2)</f>
        <v>0</v>
      </c>
      <c r="D39" s="2" t="n">
        <f aca="false">COUNTIFS(arvores!$D$2:$D$673,$A39,arvores!$B$2:$B$673,D$2)</f>
        <v>0</v>
      </c>
      <c r="E39" s="2" t="n">
        <f aca="false">COUNTIFS(arvores!$D$2:$D$673,$A39,arvores!$B$2:$B$673,E$2)</f>
        <v>0</v>
      </c>
      <c r="F39" s="2" t="n">
        <f aca="false">COUNTIFS(arvores!$D$2:$D$673,$A39,arvores!$B$2:$B$673,F$2)</f>
        <v>0</v>
      </c>
      <c r="G39" s="2" t="n">
        <f aca="false">COUNTIFS(arvores!$D$2:$D$673,$A39,arvores!$B$2:$B$673,G$2)</f>
        <v>0</v>
      </c>
      <c r="H39" s="2" t="n">
        <f aca="false">COUNTIFS(arvores!$D$2:$D$673,$A39,arvores!$B$2:$B$673,H$2)</f>
        <v>0</v>
      </c>
      <c r="I39" s="2" t="n">
        <f aca="false">COUNTIFS(arvores!$D$2:$D$673,$A39,arvores!$B$2:$B$673,I$2)</f>
        <v>0</v>
      </c>
      <c r="J39" s="2" t="n">
        <f aca="false">COUNTIFS(arvores!$D$2:$D$673,$A39,arvores!$B$2:$B$673,J$2)</f>
        <v>0</v>
      </c>
      <c r="K39" s="2" t="n">
        <f aca="false">COUNTIFS(arvores!$D$2:$D$673,$A39,arvores!$B$2:$B$673,K$2)</f>
        <v>0</v>
      </c>
      <c r="L39" s="2" t="n">
        <f aca="false">COUNTIFS(arvores!$D$2:$D$673,$A39,arvores!$B$2:$B$673,L$2)</f>
        <v>1</v>
      </c>
      <c r="M39" s="2" t="n">
        <f aca="false">COUNTIFS(arvores!$D$2:$D$673,$A39,arvores!$B$2:$B$673,M$2)</f>
        <v>0</v>
      </c>
      <c r="N39" s="2" t="n">
        <f aca="false">COUNTIFS(arvores!$D$2:$D$673,$A39,arvores!$B$2:$B$673,N$2)</f>
        <v>0</v>
      </c>
      <c r="O39" s="2" t="n">
        <f aca="false">COUNTIFS(arvores!$D$2:$D$673,$A39,arvores!$B$2:$B$673,O$2)</f>
        <v>0</v>
      </c>
      <c r="P39" s="2" t="n">
        <f aca="false">COUNTIFS(arvores!$D$2:$D$673,$A39,arvores!$B$2:$B$673,P$2)</f>
        <v>0</v>
      </c>
      <c r="Q39" s="4" t="n">
        <f aca="false">SUM(B39:P39)</f>
        <v>1</v>
      </c>
    </row>
    <row r="40" customFormat="false" ht="15" hidden="false" customHeight="false" outlineLevel="0" collapsed="false">
      <c r="A40" s="12" t="s">
        <v>64</v>
      </c>
      <c r="B40" s="2" t="n">
        <f aca="false">COUNTIFS(arvores!$D$2:$D$673,$A40,arvores!$B$2:$B$673,B$2)</f>
        <v>0</v>
      </c>
      <c r="C40" s="2" t="n">
        <f aca="false">COUNTIFS(arvores!$D$2:$D$673,$A40,arvores!$B$2:$B$673,C$2)</f>
        <v>0</v>
      </c>
      <c r="D40" s="2" t="n">
        <f aca="false">COUNTIFS(arvores!$D$2:$D$673,$A40,arvores!$B$2:$B$673,D$2)</f>
        <v>0</v>
      </c>
      <c r="E40" s="2" t="n">
        <f aca="false">COUNTIFS(arvores!$D$2:$D$673,$A40,arvores!$B$2:$B$673,E$2)</f>
        <v>0</v>
      </c>
      <c r="F40" s="2" t="n">
        <f aca="false">COUNTIFS(arvores!$D$2:$D$673,$A40,arvores!$B$2:$B$673,F$2)</f>
        <v>0</v>
      </c>
      <c r="G40" s="2" t="n">
        <f aca="false">COUNTIFS(arvores!$D$2:$D$673,$A40,arvores!$B$2:$B$673,G$2)</f>
        <v>0</v>
      </c>
      <c r="H40" s="2" t="n">
        <f aca="false">COUNTIFS(arvores!$D$2:$D$673,$A40,arvores!$B$2:$B$673,H$2)</f>
        <v>0</v>
      </c>
      <c r="I40" s="2" t="n">
        <f aca="false">COUNTIFS(arvores!$D$2:$D$673,$A40,arvores!$B$2:$B$673,I$2)</f>
        <v>1</v>
      </c>
      <c r="J40" s="2" t="n">
        <f aca="false">COUNTIFS(arvores!$D$2:$D$673,$A40,arvores!$B$2:$B$673,J$2)</f>
        <v>0</v>
      </c>
      <c r="K40" s="2" t="n">
        <f aca="false">COUNTIFS(arvores!$D$2:$D$673,$A40,arvores!$B$2:$B$673,K$2)</f>
        <v>0</v>
      </c>
      <c r="L40" s="2" t="n">
        <f aca="false">COUNTIFS(arvores!$D$2:$D$673,$A40,arvores!$B$2:$B$673,L$2)</f>
        <v>0</v>
      </c>
      <c r="M40" s="2" t="n">
        <f aca="false">COUNTIFS(arvores!$D$2:$D$673,$A40,arvores!$B$2:$B$673,M$2)</f>
        <v>0</v>
      </c>
      <c r="N40" s="2" t="n">
        <f aca="false">COUNTIFS(arvores!$D$2:$D$673,$A40,arvores!$B$2:$B$673,N$2)</f>
        <v>0</v>
      </c>
      <c r="O40" s="2" t="n">
        <f aca="false">COUNTIFS(arvores!$D$2:$D$673,$A40,arvores!$B$2:$B$673,O$2)</f>
        <v>0</v>
      </c>
      <c r="P40" s="2" t="n">
        <f aca="false">COUNTIFS(arvores!$D$2:$D$673,$A40,arvores!$B$2:$B$673,P$2)</f>
        <v>0</v>
      </c>
      <c r="Q40" s="4" t="n">
        <f aca="false">SUM(B40:P40)</f>
        <v>1</v>
      </c>
    </row>
    <row r="41" customFormat="false" ht="15" hidden="false" customHeight="false" outlineLevel="0" collapsed="false">
      <c r="A41" s="12" t="s">
        <v>43</v>
      </c>
      <c r="B41" s="2" t="n">
        <f aca="false">COUNTIFS(arvores!$D$2:$D$673,$A41,arvores!$B$2:$B$673,B$2)</f>
        <v>1</v>
      </c>
      <c r="C41" s="2" t="n">
        <f aca="false">COUNTIFS(arvores!$D$2:$D$673,$A41,arvores!$B$2:$B$673,C$2)</f>
        <v>0</v>
      </c>
      <c r="D41" s="2" t="n">
        <f aca="false">COUNTIFS(arvores!$D$2:$D$673,$A41,arvores!$B$2:$B$673,D$2)</f>
        <v>0</v>
      </c>
      <c r="E41" s="2" t="n">
        <f aca="false">COUNTIFS(arvores!$D$2:$D$673,$A41,arvores!$B$2:$B$673,E$2)</f>
        <v>0</v>
      </c>
      <c r="F41" s="2" t="n">
        <f aca="false">COUNTIFS(arvores!$D$2:$D$673,$A41,arvores!$B$2:$B$673,F$2)</f>
        <v>0</v>
      </c>
      <c r="G41" s="2" t="n">
        <f aca="false">COUNTIFS(arvores!$D$2:$D$673,$A41,arvores!$B$2:$B$673,G$2)</f>
        <v>0</v>
      </c>
      <c r="H41" s="2" t="n">
        <f aca="false">COUNTIFS(arvores!$D$2:$D$673,$A41,arvores!$B$2:$B$673,H$2)</f>
        <v>0</v>
      </c>
      <c r="I41" s="2" t="n">
        <f aca="false">COUNTIFS(arvores!$D$2:$D$673,$A41,arvores!$B$2:$B$673,I$2)</f>
        <v>0</v>
      </c>
      <c r="J41" s="2" t="n">
        <f aca="false">COUNTIFS(arvores!$D$2:$D$673,$A41,arvores!$B$2:$B$673,J$2)</f>
        <v>0</v>
      </c>
      <c r="K41" s="2" t="n">
        <f aca="false">COUNTIFS(arvores!$D$2:$D$673,$A41,arvores!$B$2:$B$673,K$2)</f>
        <v>0</v>
      </c>
      <c r="L41" s="2" t="n">
        <f aca="false">COUNTIFS(arvores!$D$2:$D$673,$A41,arvores!$B$2:$B$673,L$2)</f>
        <v>0</v>
      </c>
      <c r="M41" s="2" t="n">
        <f aca="false">COUNTIFS(arvores!$D$2:$D$673,$A41,arvores!$B$2:$B$673,M$2)</f>
        <v>0</v>
      </c>
      <c r="N41" s="2" t="n">
        <f aca="false">COUNTIFS(arvores!$D$2:$D$673,$A41,arvores!$B$2:$B$673,N$2)</f>
        <v>0</v>
      </c>
      <c r="O41" s="2" t="n">
        <f aca="false">COUNTIFS(arvores!$D$2:$D$673,$A41,arvores!$B$2:$B$673,O$2)</f>
        <v>0</v>
      </c>
      <c r="P41" s="2" t="n">
        <f aca="false">COUNTIFS(arvores!$D$2:$D$673,$A41,arvores!$B$2:$B$673,P$2)</f>
        <v>0</v>
      </c>
      <c r="Q41" s="4" t="n">
        <f aca="false">SUM(B41:P41)</f>
        <v>1</v>
      </c>
    </row>
    <row r="42" customFormat="false" ht="15" hidden="false" customHeight="false" outlineLevel="0" collapsed="false">
      <c r="A42" s="12" t="s">
        <v>77</v>
      </c>
      <c r="B42" s="2" t="n">
        <f aca="false">COUNTIFS(arvores!$D$2:$D$673,$A42,arvores!$B$2:$B$673,B$2)</f>
        <v>0</v>
      </c>
      <c r="C42" s="2" t="n">
        <f aca="false">COUNTIFS(arvores!$D$2:$D$673,$A42,arvores!$B$2:$B$673,C$2)</f>
        <v>0</v>
      </c>
      <c r="D42" s="2" t="n">
        <f aca="false">COUNTIFS(arvores!$D$2:$D$673,$A42,arvores!$B$2:$B$673,D$2)</f>
        <v>0</v>
      </c>
      <c r="E42" s="2" t="n">
        <f aca="false">COUNTIFS(arvores!$D$2:$D$673,$A42,arvores!$B$2:$B$673,E$2)</f>
        <v>0</v>
      </c>
      <c r="F42" s="2" t="n">
        <f aca="false">COUNTIFS(arvores!$D$2:$D$673,$A42,arvores!$B$2:$B$673,F$2)</f>
        <v>0</v>
      </c>
      <c r="G42" s="2" t="n">
        <f aca="false">COUNTIFS(arvores!$D$2:$D$673,$A42,arvores!$B$2:$B$673,G$2)</f>
        <v>0</v>
      </c>
      <c r="H42" s="2" t="n">
        <f aca="false">COUNTIFS(arvores!$D$2:$D$673,$A42,arvores!$B$2:$B$673,H$2)</f>
        <v>0</v>
      </c>
      <c r="I42" s="2" t="n">
        <f aca="false">COUNTIFS(arvores!$D$2:$D$673,$A42,arvores!$B$2:$B$673,I$2)</f>
        <v>0</v>
      </c>
      <c r="J42" s="2" t="n">
        <f aca="false">COUNTIFS(arvores!$D$2:$D$673,$A42,arvores!$B$2:$B$673,J$2)</f>
        <v>0</v>
      </c>
      <c r="K42" s="2" t="n">
        <f aca="false">COUNTIFS(arvores!$D$2:$D$673,$A42,arvores!$B$2:$B$673,K$2)</f>
        <v>0</v>
      </c>
      <c r="L42" s="2" t="n">
        <f aca="false">COUNTIFS(arvores!$D$2:$D$673,$A42,arvores!$B$2:$B$673,L$2)</f>
        <v>0</v>
      </c>
      <c r="M42" s="2" t="n">
        <f aca="false">COUNTIFS(arvores!$D$2:$D$673,$A42,arvores!$B$2:$B$673,M$2)</f>
        <v>0</v>
      </c>
      <c r="N42" s="2" t="n">
        <f aca="false">COUNTIFS(arvores!$D$2:$D$673,$A42,arvores!$B$2:$B$673,N$2)</f>
        <v>1</v>
      </c>
      <c r="O42" s="2" t="n">
        <f aca="false">COUNTIFS(arvores!$D$2:$D$673,$A42,arvores!$B$2:$B$673,O$2)</f>
        <v>0</v>
      </c>
      <c r="P42" s="2" t="n">
        <f aca="false">COUNTIFS(arvores!$D$2:$D$673,$A42,arvores!$B$2:$B$673,P$2)</f>
        <v>0</v>
      </c>
      <c r="Q42" s="4" t="n">
        <f aca="false">SUM(B42:P42)</f>
        <v>1</v>
      </c>
    </row>
    <row r="43" customFormat="false" ht="15" hidden="false" customHeight="false" outlineLevel="0" collapsed="false">
      <c r="A43" s="12" t="s">
        <v>80</v>
      </c>
      <c r="B43" s="2" t="n">
        <f aca="false">COUNTIFS(arvores!$D$2:$D$673,$A43,arvores!$B$2:$B$673,B$2)</f>
        <v>0</v>
      </c>
      <c r="C43" s="2" t="n">
        <f aca="false">COUNTIFS(arvores!$D$2:$D$673,$A43,arvores!$B$2:$B$673,C$2)</f>
        <v>0</v>
      </c>
      <c r="D43" s="2" t="n">
        <f aca="false">COUNTIFS(arvores!$D$2:$D$673,$A43,arvores!$B$2:$B$673,D$2)</f>
        <v>0</v>
      </c>
      <c r="E43" s="2" t="n">
        <f aca="false">COUNTIFS(arvores!$D$2:$D$673,$A43,arvores!$B$2:$B$673,E$2)</f>
        <v>0</v>
      </c>
      <c r="F43" s="2" t="n">
        <f aca="false">COUNTIFS(arvores!$D$2:$D$673,$A43,arvores!$B$2:$B$673,F$2)</f>
        <v>0</v>
      </c>
      <c r="G43" s="2" t="n">
        <f aca="false">COUNTIFS(arvores!$D$2:$D$673,$A43,arvores!$B$2:$B$673,G$2)</f>
        <v>0</v>
      </c>
      <c r="H43" s="2" t="n">
        <f aca="false">COUNTIFS(arvores!$D$2:$D$673,$A43,arvores!$B$2:$B$673,H$2)</f>
        <v>0</v>
      </c>
      <c r="I43" s="2" t="n">
        <f aca="false">COUNTIFS(arvores!$D$2:$D$673,$A43,arvores!$B$2:$B$673,I$2)</f>
        <v>0</v>
      </c>
      <c r="J43" s="2" t="n">
        <f aca="false">COUNTIFS(arvores!$D$2:$D$673,$A43,arvores!$B$2:$B$673,J$2)</f>
        <v>0</v>
      </c>
      <c r="K43" s="2" t="n">
        <f aca="false">COUNTIFS(arvores!$D$2:$D$673,$A43,arvores!$B$2:$B$673,K$2)</f>
        <v>0</v>
      </c>
      <c r="L43" s="2" t="n">
        <f aca="false">COUNTIFS(arvores!$D$2:$D$673,$A43,arvores!$B$2:$B$673,L$2)</f>
        <v>0</v>
      </c>
      <c r="M43" s="2" t="n">
        <f aca="false">COUNTIFS(arvores!$D$2:$D$673,$A43,arvores!$B$2:$B$673,M$2)</f>
        <v>0</v>
      </c>
      <c r="N43" s="2" t="n">
        <f aca="false">COUNTIFS(arvores!$D$2:$D$673,$A43,arvores!$B$2:$B$673,N$2)</f>
        <v>1</v>
      </c>
      <c r="O43" s="2" t="n">
        <f aca="false">COUNTIFS(arvores!$D$2:$D$673,$A43,arvores!$B$2:$B$673,O$2)</f>
        <v>0</v>
      </c>
      <c r="P43" s="2" t="n">
        <f aca="false">COUNTIFS(arvores!$D$2:$D$673,$A43,arvores!$B$2:$B$673,P$2)</f>
        <v>0</v>
      </c>
      <c r="Q43" s="4" t="n">
        <f aca="false">SUM(B43:P43)</f>
        <v>1</v>
      </c>
    </row>
    <row r="44" customFormat="false" ht="15" hidden="false" customHeight="false" outlineLevel="0" collapsed="false">
      <c r="A44" s="12" t="s">
        <v>79</v>
      </c>
      <c r="B44" s="2" t="n">
        <f aca="false">COUNTIFS(arvores!$D$2:$D$673,$A44,arvores!$B$2:$B$673,B$2)</f>
        <v>0</v>
      </c>
      <c r="C44" s="2" t="n">
        <f aca="false">COUNTIFS(arvores!$D$2:$D$673,$A44,arvores!$B$2:$B$673,C$2)</f>
        <v>0</v>
      </c>
      <c r="D44" s="2" t="n">
        <f aca="false">COUNTIFS(arvores!$D$2:$D$673,$A44,arvores!$B$2:$B$673,D$2)</f>
        <v>0</v>
      </c>
      <c r="E44" s="2" t="n">
        <f aca="false">COUNTIFS(arvores!$D$2:$D$673,$A44,arvores!$B$2:$B$673,E$2)</f>
        <v>0</v>
      </c>
      <c r="F44" s="2" t="n">
        <f aca="false">COUNTIFS(arvores!$D$2:$D$673,$A44,arvores!$B$2:$B$673,F$2)</f>
        <v>0</v>
      </c>
      <c r="G44" s="2" t="n">
        <f aca="false">COUNTIFS(arvores!$D$2:$D$673,$A44,arvores!$B$2:$B$673,G$2)</f>
        <v>0</v>
      </c>
      <c r="H44" s="2" t="n">
        <f aca="false">COUNTIFS(arvores!$D$2:$D$673,$A44,arvores!$B$2:$B$673,H$2)</f>
        <v>0</v>
      </c>
      <c r="I44" s="2" t="n">
        <f aca="false">COUNTIFS(arvores!$D$2:$D$673,$A44,arvores!$B$2:$B$673,I$2)</f>
        <v>0</v>
      </c>
      <c r="J44" s="2" t="n">
        <f aca="false">COUNTIFS(arvores!$D$2:$D$673,$A44,arvores!$B$2:$B$673,J$2)</f>
        <v>0</v>
      </c>
      <c r="K44" s="2" t="n">
        <f aca="false">COUNTIFS(arvores!$D$2:$D$673,$A44,arvores!$B$2:$B$673,K$2)</f>
        <v>0</v>
      </c>
      <c r="L44" s="2" t="n">
        <f aca="false">COUNTIFS(arvores!$D$2:$D$673,$A44,arvores!$B$2:$B$673,L$2)</f>
        <v>0</v>
      </c>
      <c r="M44" s="2" t="n">
        <f aca="false">COUNTIFS(arvores!$D$2:$D$673,$A44,arvores!$B$2:$B$673,M$2)</f>
        <v>0</v>
      </c>
      <c r="N44" s="2" t="n">
        <f aca="false">COUNTIFS(arvores!$D$2:$D$673,$A44,arvores!$B$2:$B$673,N$2)</f>
        <v>1</v>
      </c>
      <c r="O44" s="2" t="n">
        <f aca="false">COUNTIFS(arvores!$D$2:$D$673,$A44,arvores!$B$2:$B$673,O$2)</f>
        <v>0</v>
      </c>
      <c r="P44" s="2" t="n">
        <f aca="false">COUNTIFS(arvores!$D$2:$D$673,$A44,arvores!$B$2:$B$673,P$2)</f>
        <v>0</v>
      </c>
      <c r="Q44" s="4" t="n">
        <f aca="false">SUM(B44:P44)</f>
        <v>1</v>
      </c>
    </row>
    <row r="45" customFormat="false" ht="15" hidden="false" customHeight="false" outlineLevel="0" collapsed="false">
      <c r="A45" s="4" t="s">
        <v>773</v>
      </c>
      <c r="B45" s="4" t="n">
        <f aca="false">SUM(B3:B44)</f>
        <v>47</v>
      </c>
      <c r="C45" s="4" t="n">
        <f aca="false">SUM(C3:C44)</f>
        <v>55</v>
      </c>
      <c r="D45" s="4" t="n">
        <f aca="false">SUM(D3:D44)</f>
        <v>67</v>
      </c>
      <c r="E45" s="4" t="n">
        <f aca="false">SUM(E3:E44)</f>
        <v>52</v>
      </c>
      <c r="F45" s="4" t="n">
        <f aca="false">SUM(F3:F44)</f>
        <v>69</v>
      </c>
      <c r="G45" s="4" t="n">
        <f aca="false">SUM(G3:G44)</f>
        <v>40</v>
      </c>
      <c r="H45" s="4" t="n">
        <f aca="false">SUM(H3:H44)</f>
        <v>32</v>
      </c>
      <c r="I45" s="4" t="n">
        <f aca="false">SUM(I3:I44)</f>
        <v>20</v>
      </c>
      <c r="J45" s="4" t="n">
        <f aca="false">SUM(J3:J44)</f>
        <v>40</v>
      </c>
      <c r="K45" s="4" t="n">
        <f aca="false">SUM(K3:K44)</f>
        <v>46</v>
      </c>
      <c r="L45" s="4" t="n">
        <f aca="false">SUM(L3:L44)</f>
        <v>57</v>
      </c>
      <c r="M45" s="4" t="n">
        <f aca="false">SUM(M3:M44)</f>
        <v>19</v>
      </c>
      <c r="N45" s="4" t="n">
        <f aca="false">SUM(N3:N44)</f>
        <v>63</v>
      </c>
      <c r="O45" s="4" t="n">
        <f aca="false">SUM(O3:O44)</f>
        <v>53</v>
      </c>
      <c r="P45" s="4" t="n">
        <f aca="false">SUM(P3:P44)</f>
        <v>12</v>
      </c>
      <c r="Q45" s="4" t="n">
        <f aca="false">SUM(Q3:Q44)</f>
        <v>672</v>
      </c>
    </row>
    <row r="46" customFormat="false" ht="15" hidden="false" customHeight="false" outlineLevel="0" collapsed="false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customFormat="false" ht="15" hidden="false" customHeight="false" outlineLevel="0" collapsed="false">
      <c r="A47" s="3" t="s">
        <v>774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15" min="2" style="0" width="11"/>
  </cols>
  <sheetData>
    <row r="1" customFormat="false" ht="17.35" hidden="false" customHeight="false" outlineLevel="0" collapsed="false">
      <c r="A1" s="1" t="s">
        <v>775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customFormat="false" ht="1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5" hidden="false" customHeight="false" outlineLevel="0" collapsed="false">
      <c r="A3" s="4" t="s">
        <v>776</v>
      </c>
      <c r="B3" s="9" t="s">
        <v>777</v>
      </c>
      <c r="C3" s="3" t="s">
        <v>778</v>
      </c>
      <c r="D3" s="3"/>
      <c r="E3" s="4" t="s">
        <v>779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customFormat="false" ht="15" hidden="false" customHeight="false" outlineLevel="0" collapsed="false">
      <c r="A4" s="4" t="s">
        <v>780</v>
      </c>
      <c r="B4" s="9" t="n">
        <v>0.02</v>
      </c>
      <c r="C4" s="3"/>
      <c r="D4" s="3"/>
      <c r="E4" s="3" t="s">
        <v>781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customFormat="false" ht="15" hidden="false" customHeight="false" outlineLevel="0" collapsed="false">
      <c r="A5" s="4" t="s">
        <v>782</v>
      </c>
      <c r="B5" s="3" t="str">
        <f aca="false">IF(B3="todos","*",B3)</f>
        <v>*</v>
      </c>
      <c r="C5" s="3"/>
      <c r="D5" s="3"/>
      <c r="E5" s="3" t="s">
        <v>783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customFormat="false" ht="15" hidden="false" customHeight="false" outlineLevel="0" collapsed="false">
      <c r="A6" s="4" t="s">
        <v>784</v>
      </c>
      <c r="B6" s="3" t="n">
        <f aca="false">COUNTIF(matriz!$B$1:$P$1,B5)</f>
        <v>15</v>
      </c>
      <c r="C6" s="3"/>
      <c r="D6" s="3"/>
      <c r="E6" s="3" t="s">
        <v>785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customFormat="false" ht="15" hidden="false" customHeight="false" outlineLevel="0" collapsed="false">
      <c r="A7" s="4" t="s">
        <v>786</v>
      </c>
      <c r="B7" s="3" t="n">
        <f aca="false">B6*B4</f>
        <v>0.3</v>
      </c>
      <c r="C7" s="3"/>
      <c r="D7" s="3"/>
      <c r="E7" s="3" t="s">
        <v>787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customFormat="false" ht="15" hidden="false" customHeight="fals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customFormat="false" ht="31.5" hidden="false" customHeight="true" outlineLevel="0" collapsed="false">
      <c r="A9" s="5" t="s">
        <v>788</v>
      </c>
      <c r="B9" s="5" t="s">
        <v>789</v>
      </c>
      <c r="C9" s="5" t="s">
        <v>790</v>
      </c>
      <c r="D9" s="5" t="s">
        <v>791</v>
      </c>
      <c r="E9" s="5" t="s">
        <v>792</v>
      </c>
      <c r="F9" s="5" t="s">
        <v>793</v>
      </c>
      <c r="G9" s="5" t="s">
        <v>794</v>
      </c>
      <c r="H9" s="5" t="s">
        <v>795</v>
      </c>
      <c r="I9" s="5" t="s">
        <v>796</v>
      </c>
      <c r="J9" s="5" t="s">
        <v>797</v>
      </c>
      <c r="K9" s="5" t="s">
        <v>798</v>
      </c>
      <c r="L9" s="5" t="s">
        <v>799</v>
      </c>
      <c r="M9" s="5" t="s">
        <v>800</v>
      </c>
      <c r="N9" s="5" t="s">
        <v>801</v>
      </c>
      <c r="O9" s="5" t="s">
        <v>802</v>
      </c>
    </row>
    <row r="10" customFormat="false" ht="15" hidden="false" customHeight="false" outlineLevel="0" collapsed="false">
      <c r="A10" s="12" t="s">
        <v>37</v>
      </c>
      <c r="B10" s="13" t="n">
        <f aca="false">SUMIFS(matriz!$B$3:$P$3,matriz!$B$1:$P$1,$B$5)</f>
        <v>410</v>
      </c>
      <c r="C10" s="13" t="n">
        <f aca="false">COUNTIFS(matriz!$B$3:$P$3,"&gt;0",matriz!$B$1:$P$1,$B$5)</f>
        <v>15</v>
      </c>
      <c r="D10" s="14" t="n">
        <f aca="false">SUMIFS(arvores!$G$2:$G$673,arvores!$D$2:$D$673,A10,arvores!$A$2:$A$673,$B$5)</f>
        <v>6.45185690348466</v>
      </c>
      <c r="E10" s="15" t="n">
        <f aca="false">B10/$B$7</f>
        <v>1366.66666666667</v>
      </c>
      <c r="F10" s="16" t="n">
        <f aca="false">100*B10/$B$52</f>
        <v>61.0119047619048</v>
      </c>
      <c r="G10" s="16" t="n">
        <f aca="false">100*C10/$B$6</f>
        <v>100</v>
      </c>
      <c r="H10" s="16" t="n">
        <f aca="false">IF(G10=0,0,100*G10/$G$52)</f>
        <v>15.4639175257732</v>
      </c>
      <c r="I10" s="16" t="n">
        <f aca="false">D10/$B$7</f>
        <v>21.5061896782822</v>
      </c>
      <c r="J10" s="16" t="n">
        <f aca="false">100*D10/$D$52</f>
        <v>66.2589250306618</v>
      </c>
      <c r="K10" s="16" t="n">
        <f aca="false">F10+H10+J10</f>
        <v>142.73474731834</v>
      </c>
      <c r="L10" s="16" t="n">
        <f aca="false">K10/3</f>
        <v>47.5782491061133</v>
      </c>
      <c r="M10" s="16" t="n">
        <f aca="false">F10+J10</f>
        <v>127.270829792567</v>
      </c>
      <c r="N10" s="16" t="n">
        <f aca="false">M10/2</f>
        <v>63.6354148962833</v>
      </c>
      <c r="O10" s="16" t="n">
        <f aca="false">IF(B10=0,"",RANK(K10,$K$10:$K$51))</f>
        <v>1</v>
      </c>
    </row>
    <row r="11" customFormat="false" ht="15" hidden="false" customHeight="false" outlineLevel="0" collapsed="false">
      <c r="A11" s="12" t="s">
        <v>33</v>
      </c>
      <c r="B11" s="13" t="n">
        <f aca="false">SUMIFS(matriz!$B$4:$P$4,matriz!$B$1:$P$1,$B$5)</f>
        <v>79</v>
      </c>
      <c r="C11" s="13" t="n">
        <f aca="false">COUNTIFS(matriz!$B$4:$P$4,"&gt;0",matriz!$B$1:$P$1,$B$5)</f>
        <v>5</v>
      </c>
      <c r="D11" s="14" t="n">
        <f aca="false">SUMIFS(arvores!$G$2:$G$673,arvores!$D$2:$D$673,A11,arvores!$A$2:$A$673,$B$5)</f>
        <v>0.61602512273149</v>
      </c>
      <c r="E11" s="15" t="n">
        <f aca="false">B11/$B$7</f>
        <v>263.333333333333</v>
      </c>
      <c r="F11" s="16" t="n">
        <f aca="false">100*B11/$B$52</f>
        <v>11.7559523809524</v>
      </c>
      <c r="G11" s="16" t="n">
        <f aca="false">100*C11/$B$6</f>
        <v>33.3333333333333</v>
      </c>
      <c r="H11" s="16" t="n">
        <f aca="false">IF(G11=0,0,100*G11/$G$52)</f>
        <v>5.15463917525773</v>
      </c>
      <c r="I11" s="16" t="n">
        <f aca="false">D11/$B$7</f>
        <v>2.05341707577163</v>
      </c>
      <c r="J11" s="16" t="n">
        <f aca="false">100*D11/$D$52</f>
        <v>6.3264209102382</v>
      </c>
      <c r="K11" s="16" t="n">
        <f aca="false">F11+H11+J11</f>
        <v>23.2370124664483</v>
      </c>
      <c r="L11" s="16" t="n">
        <f aca="false">K11/3</f>
        <v>7.74567082214944</v>
      </c>
      <c r="M11" s="16" t="n">
        <f aca="false">F11+J11</f>
        <v>18.0823732911906</v>
      </c>
      <c r="N11" s="16" t="n">
        <f aca="false">M11/2</f>
        <v>9.04118664559529</v>
      </c>
      <c r="O11" s="16" t="n">
        <f aca="false">IF(B11=0,"",RANK(K11,$K$10:$K$51))</f>
        <v>2</v>
      </c>
    </row>
    <row r="12" customFormat="false" ht="15" hidden="false" customHeight="false" outlineLevel="0" collapsed="false">
      <c r="A12" s="12" t="s">
        <v>48</v>
      </c>
      <c r="B12" s="13" t="n">
        <f aca="false">SUMIFS(matriz!$B$5:$P$5,matriz!$B$1:$P$1,$B$5)</f>
        <v>11</v>
      </c>
      <c r="C12" s="13" t="n">
        <f aca="false">COUNTIFS(matriz!$B$5:$P$5,"&gt;0",matriz!$B$1:$P$1,$B$5)</f>
        <v>7</v>
      </c>
      <c r="D12" s="14" t="n">
        <f aca="false">SUMIFS(arvores!$G$2:$G$673,arvores!$D$2:$D$673,A12,arvores!$A$2:$A$673,$B$5)</f>
        <v>0.881885497419347</v>
      </c>
      <c r="E12" s="15" t="n">
        <f aca="false">B12/$B$7</f>
        <v>36.6666666666667</v>
      </c>
      <c r="F12" s="16" t="n">
        <f aca="false">100*B12/$B$52</f>
        <v>1.63690476190476</v>
      </c>
      <c r="G12" s="16" t="n">
        <f aca="false">100*C12/$B$6</f>
        <v>46.6666666666667</v>
      </c>
      <c r="H12" s="16" t="n">
        <f aca="false">IF(G12=0,0,100*G12/$G$52)</f>
        <v>7.21649484536082</v>
      </c>
      <c r="I12" s="16" t="n">
        <f aca="false">D12/$B$7</f>
        <v>2.93961832473116</v>
      </c>
      <c r="J12" s="16" t="n">
        <f aca="false">100*D12/$D$52</f>
        <v>9.05673915792781</v>
      </c>
      <c r="K12" s="16" t="n">
        <f aca="false">F12+H12+J12</f>
        <v>17.9101387651934</v>
      </c>
      <c r="L12" s="16" t="n">
        <f aca="false">K12/3</f>
        <v>5.97004625506447</v>
      </c>
      <c r="M12" s="16" t="n">
        <f aca="false">F12+J12</f>
        <v>10.6936439198326</v>
      </c>
      <c r="N12" s="16" t="n">
        <f aca="false">M12/2</f>
        <v>5.34682195991629</v>
      </c>
      <c r="O12" s="16" t="n">
        <f aca="false">IF(B12=0,"",RANK(K12,$K$10:$K$51))</f>
        <v>3</v>
      </c>
    </row>
    <row r="13" customFormat="false" ht="15" hidden="false" customHeight="false" outlineLevel="0" collapsed="false">
      <c r="A13" s="12" t="s">
        <v>71</v>
      </c>
      <c r="B13" s="13" t="n">
        <f aca="false">SUMIFS(matriz!$B$6:$P$6,matriz!$B$1:$P$1,$B$5)</f>
        <v>47</v>
      </c>
      <c r="C13" s="13" t="n">
        <f aca="false">COUNTIFS(matriz!$B$6:$P$6,"&gt;0",matriz!$B$1:$P$1,$B$5)</f>
        <v>5</v>
      </c>
      <c r="D13" s="14" t="n">
        <f aca="false">SUMIFS(arvores!$G$2:$G$673,arvores!$D$2:$D$673,A13,arvores!$A$2:$A$673,$B$5)</f>
        <v>0.22868177998159</v>
      </c>
      <c r="E13" s="15" t="n">
        <f aca="false">B13/$B$7</f>
        <v>156.666666666667</v>
      </c>
      <c r="F13" s="16" t="n">
        <f aca="false">100*B13/$B$52</f>
        <v>6.99404761904762</v>
      </c>
      <c r="G13" s="16" t="n">
        <f aca="false">100*C13/$B$6</f>
        <v>33.3333333333333</v>
      </c>
      <c r="H13" s="16" t="n">
        <f aca="false">IF(G13=0,0,100*G13/$G$52)</f>
        <v>5.15463917525773</v>
      </c>
      <c r="I13" s="16" t="n">
        <f aca="false">D13/$B$7</f>
        <v>0.762272599938633</v>
      </c>
      <c r="J13" s="16" t="n">
        <f aca="false">100*D13/$D$52</f>
        <v>2.34850356143124</v>
      </c>
      <c r="K13" s="16" t="n">
        <f aca="false">F13+H13+J13</f>
        <v>14.4971903557366</v>
      </c>
      <c r="L13" s="16" t="n">
        <f aca="false">K13/3</f>
        <v>4.83239678524553</v>
      </c>
      <c r="M13" s="16" t="n">
        <f aca="false">F13+J13</f>
        <v>9.34255118047886</v>
      </c>
      <c r="N13" s="16" t="n">
        <f aca="false">M13/2</f>
        <v>4.67127559023943</v>
      </c>
      <c r="O13" s="16" t="n">
        <f aca="false">IF(B13=0,"",RANK(K13,$K$10:$K$51))</f>
        <v>4</v>
      </c>
    </row>
    <row r="14" customFormat="false" ht="15" hidden="false" customHeight="false" outlineLevel="0" collapsed="false">
      <c r="A14" s="12" t="s">
        <v>52</v>
      </c>
      <c r="B14" s="13" t="n">
        <f aca="false">SUMIFS(matriz!$B$7:$P$7,matriz!$B$1:$P$1,$B$5)</f>
        <v>37</v>
      </c>
      <c r="C14" s="13" t="n">
        <f aca="false">COUNTIFS(matriz!$B$7:$P$7,"&gt;0",matriz!$B$1:$P$1,$B$5)</f>
        <v>3</v>
      </c>
      <c r="D14" s="14" t="n">
        <f aca="false">SUMIFS(arvores!$G$2:$G$673,arvores!$D$2:$D$673,A14,arvores!$A$2:$A$673,$B$5)</f>
        <v>0.271860516042421</v>
      </c>
      <c r="E14" s="15" t="n">
        <f aca="false">B14/$B$7</f>
        <v>123.333333333333</v>
      </c>
      <c r="F14" s="16" t="n">
        <f aca="false">100*B14/$B$52</f>
        <v>5.50595238095238</v>
      </c>
      <c r="G14" s="16" t="n">
        <f aca="false">100*C14/$B$6</f>
        <v>20</v>
      </c>
      <c r="H14" s="16" t="n">
        <f aca="false">IF(G14=0,0,100*G14/$G$52)</f>
        <v>3.09278350515464</v>
      </c>
      <c r="I14" s="16" t="n">
        <f aca="false">D14/$B$7</f>
        <v>0.906201720141403</v>
      </c>
      <c r="J14" s="16" t="n">
        <f aca="false">100*D14/$D$52</f>
        <v>2.79193816923045</v>
      </c>
      <c r="K14" s="16" t="n">
        <f aca="false">F14+H14+J14</f>
        <v>11.3906740553375</v>
      </c>
      <c r="L14" s="16" t="n">
        <f aca="false">K14/3</f>
        <v>3.79689135177916</v>
      </c>
      <c r="M14" s="16" t="n">
        <f aca="false">F14+J14</f>
        <v>8.29789055018283</v>
      </c>
      <c r="N14" s="16" t="n">
        <f aca="false">M14/2</f>
        <v>4.14894527509142</v>
      </c>
      <c r="O14" s="16" t="n">
        <f aca="false">IF(B14=0,"",RANK(K14,$K$10:$K$51))</f>
        <v>5</v>
      </c>
    </row>
    <row r="15" customFormat="false" ht="15" hidden="false" customHeight="false" outlineLevel="0" collapsed="false">
      <c r="A15" s="12" t="s">
        <v>60</v>
      </c>
      <c r="B15" s="13" t="n">
        <f aca="false">SUMIFS(matriz!$B$8:$P$8,matriz!$B$1:$P$1,$B$5)</f>
        <v>7</v>
      </c>
      <c r="C15" s="13" t="n">
        <f aca="false">COUNTIFS(matriz!$B$8:$P$8,"&gt;0",matriz!$B$1:$P$1,$B$5)</f>
        <v>6</v>
      </c>
      <c r="D15" s="14" t="n">
        <f aca="false">SUMIFS(arvores!$G$2:$G$673,arvores!$D$2:$D$673,A15,arvores!$A$2:$A$673,$B$5)</f>
        <v>0.151372266374702</v>
      </c>
      <c r="E15" s="15" t="n">
        <f aca="false">B15/$B$7</f>
        <v>23.3333333333333</v>
      </c>
      <c r="F15" s="16" t="n">
        <f aca="false">100*B15/$B$52</f>
        <v>1.04166666666667</v>
      </c>
      <c r="G15" s="16" t="n">
        <f aca="false">100*C15/$B$6</f>
        <v>40</v>
      </c>
      <c r="H15" s="16" t="n">
        <f aca="false">IF(G15=0,0,100*G15/$G$52)</f>
        <v>6.18556701030928</v>
      </c>
      <c r="I15" s="16" t="n">
        <f aca="false">D15/$B$7</f>
        <v>0.504574221249006</v>
      </c>
      <c r="J15" s="16" t="n">
        <f aca="false">100*D15/$D$52</f>
        <v>1.55455457234732</v>
      </c>
      <c r="K15" s="16" t="n">
        <f aca="false">F15+H15+J15</f>
        <v>8.78178824932327</v>
      </c>
      <c r="L15" s="16" t="n">
        <f aca="false">K15/3</f>
        <v>2.92726274977442</v>
      </c>
      <c r="M15" s="16" t="n">
        <f aca="false">F15+J15</f>
        <v>2.59622123901399</v>
      </c>
      <c r="N15" s="16" t="n">
        <f aca="false">M15/2</f>
        <v>1.298110619507</v>
      </c>
      <c r="O15" s="16" t="n">
        <f aca="false">IF(B15=0,"",RANK(K15,$K$10:$K$51))</f>
        <v>6</v>
      </c>
    </row>
    <row r="16" customFormat="false" ht="15" hidden="false" customHeight="false" outlineLevel="0" collapsed="false">
      <c r="A16" s="12" t="s">
        <v>44</v>
      </c>
      <c r="B16" s="13" t="n">
        <f aca="false">SUMIFS(matriz!$B$9:$P$9,matriz!$B$1:$P$1,$B$5)</f>
        <v>10</v>
      </c>
      <c r="C16" s="13" t="n">
        <f aca="false">COUNTIFS(matriz!$B$9:$P$9,"&gt;0",matriz!$B$1:$P$1,$B$5)</f>
        <v>5</v>
      </c>
      <c r="D16" s="14" t="n">
        <f aca="false">SUMIFS(arvores!$G$2:$G$673,arvores!$D$2:$D$673,A16,arvores!$A$2:$A$673,$B$5)</f>
        <v>0.136658391885856</v>
      </c>
      <c r="E16" s="15" t="n">
        <f aca="false">B16/$B$7</f>
        <v>33.3333333333333</v>
      </c>
      <c r="F16" s="16" t="n">
        <f aca="false">100*B16/$B$52</f>
        <v>1.48809523809524</v>
      </c>
      <c r="G16" s="16" t="n">
        <f aca="false">100*C16/$B$6</f>
        <v>33.3333333333333</v>
      </c>
      <c r="H16" s="16" t="n">
        <f aca="false">IF(G16=0,0,100*G16/$G$52)</f>
        <v>5.15463917525773</v>
      </c>
      <c r="I16" s="16" t="n">
        <f aca="false">D16/$B$7</f>
        <v>0.455527972952853</v>
      </c>
      <c r="J16" s="16" t="n">
        <f aca="false">100*D16/$D$52</f>
        <v>1.40344683371468</v>
      </c>
      <c r="K16" s="16" t="n">
        <f aca="false">F16+H16+J16</f>
        <v>8.04618124706765</v>
      </c>
      <c r="L16" s="16" t="n">
        <f aca="false">K16/3</f>
        <v>2.68206041568922</v>
      </c>
      <c r="M16" s="16" t="n">
        <f aca="false">F16+J16</f>
        <v>2.89154207180992</v>
      </c>
      <c r="N16" s="16" t="n">
        <f aca="false">M16/2</f>
        <v>1.44577103590496</v>
      </c>
      <c r="O16" s="16" t="n">
        <f aca="false">IF(B16=0,"",RANK(K16,$K$10:$K$51))</f>
        <v>7</v>
      </c>
    </row>
    <row r="17" customFormat="false" ht="15" hidden="false" customHeight="false" outlineLevel="0" collapsed="false">
      <c r="A17" s="12" t="s">
        <v>45</v>
      </c>
      <c r="B17" s="13" t="n">
        <f aca="false">SUMIFS(matriz!$B$10:$P$10,matriz!$B$1:$P$1,$B$5)</f>
        <v>7</v>
      </c>
      <c r="C17" s="13" t="n">
        <f aca="false">COUNTIFS(matriz!$B$10:$P$10,"&gt;0",matriz!$B$1:$P$1,$B$5)</f>
        <v>4</v>
      </c>
      <c r="D17" s="14" t="n">
        <f aca="false">SUMIFS(arvores!$G$2:$G$673,arvores!$D$2:$D$673,A17,arvores!$A$2:$A$673,$B$5)</f>
        <v>0.0900816977900128</v>
      </c>
      <c r="E17" s="15" t="n">
        <f aca="false">B17/$B$7</f>
        <v>23.3333333333333</v>
      </c>
      <c r="F17" s="16" t="n">
        <f aca="false">100*B17/$B$52</f>
        <v>1.04166666666667</v>
      </c>
      <c r="G17" s="16" t="n">
        <f aca="false">100*C17/$B$6</f>
        <v>26.6666666666667</v>
      </c>
      <c r="H17" s="16" t="n">
        <f aca="false">IF(G17=0,0,100*G17/$G$52)</f>
        <v>4.12371134020619</v>
      </c>
      <c r="I17" s="16" t="n">
        <f aca="false">D17/$B$7</f>
        <v>0.300272325966709</v>
      </c>
      <c r="J17" s="16" t="n">
        <f aca="false">100*D17/$D$52</f>
        <v>0.925116063451357</v>
      </c>
      <c r="K17" s="16" t="n">
        <f aca="false">F17+H17+J17</f>
        <v>6.09049407032421</v>
      </c>
      <c r="L17" s="16" t="n">
        <f aca="false">K17/3</f>
        <v>2.03016469010807</v>
      </c>
      <c r="M17" s="16" t="n">
        <f aca="false">F17+J17</f>
        <v>1.96678273011802</v>
      </c>
      <c r="N17" s="16" t="n">
        <f aca="false">M17/2</f>
        <v>0.983391365059012</v>
      </c>
      <c r="O17" s="16" t="n">
        <f aca="false">IF(B17=0,"",RANK(K17,$K$10:$K$51))</f>
        <v>8</v>
      </c>
    </row>
    <row r="18" customFormat="false" ht="15" hidden="false" customHeight="false" outlineLevel="0" collapsed="false">
      <c r="A18" s="12" t="s">
        <v>65</v>
      </c>
      <c r="B18" s="13" t="n">
        <f aca="false">SUMIFS(matriz!$B$11:$P$11,matriz!$B$1:$P$1,$B$5)</f>
        <v>6</v>
      </c>
      <c r="C18" s="13" t="n">
        <f aca="false">COUNTIFS(matriz!$B$11:$P$11,"&gt;0",matriz!$B$1:$P$1,$B$5)</f>
        <v>2</v>
      </c>
      <c r="D18" s="14" t="n">
        <f aca="false">SUMIFS(arvores!$G$2:$G$673,arvores!$D$2:$D$673,A18,arvores!$A$2:$A$673,$B$5)</f>
        <v>0.114647263256247</v>
      </c>
      <c r="E18" s="15" t="n">
        <f aca="false">B18/$B$7</f>
        <v>20</v>
      </c>
      <c r="F18" s="16" t="n">
        <f aca="false">100*B18/$B$52</f>
        <v>0.892857142857143</v>
      </c>
      <c r="G18" s="16" t="n">
        <f aca="false">100*C18/$B$6</f>
        <v>13.3333333333333</v>
      </c>
      <c r="H18" s="16" t="n">
        <f aca="false">IF(G18=0,0,100*G18/$G$52)</f>
        <v>2.06185567010309</v>
      </c>
      <c r="I18" s="16" t="n">
        <f aca="false">D18/$B$7</f>
        <v>0.382157544187489</v>
      </c>
      <c r="J18" s="16" t="n">
        <f aca="false">100*D18/$D$52</f>
        <v>1.17739815601976</v>
      </c>
      <c r="K18" s="16" t="n">
        <f aca="false">F18+H18+J18</f>
        <v>4.13211096898</v>
      </c>
      <c r="L18" s="16" t="n">
        <f aca="false">K18/3</f>
        <v>1.37737032299333</v>
      </c>
      <c r="M18" s="16" t="n">
        <f aca="false">F18+J18</f>
        <v>2.0702552988769</v>
      </c>
      <c r="N18" s="16" t="n">
        <f aca="false">M18/2</f>
        <v>1.03512764943845</v>
      </c>
      <c r="O18" s="16" t="n">
        <f aca="false">IF(B18=0,"",RANK(K18,$K$10:$K$51))</f>
        <v>9</v>
      </c>
    </row>
    <row r="19" customFormat="false" ht="15" hidden="false" customHeight="false" outlineLevel="0" collapsed="false">
      <c r="A19" s="12" t="s">
        <v>61</v>
      </c>
      <c r="B19" s="13" t="n">
        <f aca="false">SUMIFS(matriz!$B$12:$P$12,matriz!$B$1:$P$1,$B$5)</f>
        <v>4</v>
      </c>
      <c r="C19" s="13" t="n">
        <f aca="false">COUNTIFS(matriz!$B$12:$P$12,"&gt;0",matriz!$B$1:$P$1,$B$5)</f>
        <v>3</v>
      </c>
      <c r="D19" s="14" t="n">
        <f aca="false">SUMIFS(arvores!$G$2:$G$673,arvores!$D$2:$D$673,A19,arvores!$A$2:$A$673,$B$5)</f>
        <v>0.0220827483540005</v>
      </c>
      <c r="E19" s="15" t="n">
        <f aca="false">B19/$B$7</f>
        <v>13.3333333333333</v>
      </c>
      <c r="F19" s="16" t="n">
        <f aca="false">100*B19/$B$52</f>
        <v>0.595238095238095</v>
      </c>
      <c r="G19" s="16" t="n">
        <f aca="false">100*C19/$B$6</f>
        <v>20</v>
      </c>
      <c r="H19" s="16" t="n">
        <f aca="false">IF(G19=0,0,100*G19/$G$52)</f>
        <v>3.09278350515464</v>
      </c>
      <c r="I19" s="16" t="n">
        <f aca="false">D19/$B$7</f>
        <v>0.0736091611800016</v>
      </c>
      <c r="J19" s="16" t="n">
        <f aca="false">100*D19/$D$52</f>
        <v>0.22678419399978</v>
      </c>
      <c r="K19" s="16" t="n">
        <f aca="false">F19+H19+J19</f>
        <v>3.91480579439252</v>
      </c>
      <c r="L19" s="16" t="n">
        <f aca="false">K19/3</f>
        <v>1.30493526479751</v>
      </c>
      <c r="M19" s="16" t="n">
        <f aca="false">F19+J19</f>
        <v>0.822022289237876</v>
      </c>
      <c r="N19" s="16" t="n">
        <f aca="false">M19/2</f>
        <v>0.411011144618938</v>
      </c>
      <c r="O19" s="16" t="n">
        <f aca="false">IF(B19=0,"",RANK(K19,$K$10:$K$51))</f>
        <v>10</v>
      </c>
    </row>
    <row r="20" customFormat="false" ht="15" hidden="false" customHeight="false" outlineLevel="0" collapsed="false">
      <c r="A20" s="12" t="s">
        <v>42</v>
      </c>
      <c r="B20" s="13" t="n">
        <f aca="false">SUMIFS(matriz!$B$13:$P$13,matriz!$B$1:$P$1,$B$5)</f>
        <v>3</v>
      </c>
      <c r="C20" s="13" t="n">
        <f aca="false">COUNTIFS(matriz!$B$13:$P$13,"&gt;0",matriz!$B$1:$P$1,$B$5)</f>
        <v>2</v>
      </c>
      <c r="D20" s="14" t="n">
        <f aca="false">SUMIFS(arvores!$G$2:$G$673,arvores!$D$2:$D$673,A20,arvores!$A$2:$A$673,$B$5)</f>
        <v>0.0865325425590635</v>
      </c>
      <c r="E20" s="15" t="n">
        <f aca="false">B20/$B$7</f>
        <v>10</v>
      </c>
      <c r="F20" s="16" t="n">
        <f aca="false">100*B20/$B$52</f>
        <v>0.446428571428571</v>
      </c>
      <c r="G20" s="16" t="n">
        <f aca="false">100*C20/$B$6</f>
        <v>13.3333333333333</v>
      </c>
      <c r="H20" s="16" t="n">
        <f aca="false">IF(G20=0,0,100*G20/$G$52)</f>
        <v>2.06185567010309</v>
      </c>
      <c r="I20" s="16" t="n">
        <f aca="false">D20/$B$7</f>
        <v>0.288441808530212</v>
      </c>
      <c r="J20" s="16" t="n">
        <f aca="false">100*D20/$D$52</f>
        <v>0.888667144343644</v>
      </c>
      <c r="K20" s="16" t="n">
        <f aca="false">F20+H20+J20</f>
        <v>3.39695138587531</v>
      </c>
      <c r="L20" s="16" t="n">
        <f aca="false">K20/3</f>
        <v>1.1323171286251</v>
      </c>
      <c r="M20" s="16" t="n">
        <f aca="false">F20+J20</f>
        <v>1.33509571577222</v>
      </c>
      <c r="N20" s="16" t="n">
        <f aca="false">M20/2</f>
        <v>0.667547857886108</v>
      </c>
      <c r="O20" s="16" t="n">
        <f aca="false">IF(B20=0,"",RANK(K20,$K$10:$K$51))</f>
        <v>11</v>
      </c>
    </row>
    <row r="21" customFormat="false" ht="15" hidden="false" customHeight="false" outlineLevel="0" collapsed="false">
      <c r="A21" s="12" t="s">
        <v>51</v>
      </c>
      <c r="B21" s="13" t="n">
        <f aca="false">SUMIFS(matriz!$B$14:$P$14,matriz!$B$1:$P$1,$B$5)</f>
        <v>4</v>
      </c>
      <c r="C21" s="13" t="n">
        <f aca="false">COUNTIFS(matriz!$B$14:$P$14,"&gt;0",matriz!$B$1:$P$1,$B$5)</f>
        <v>2</v>
      </c>
      <c r="D21" s="14" t="n">
        <f aca="false">SUMIFS(arvores!$G$2:$G$673,arvores!$D$2:$D$673,A21,arvores!$A$2:$A$673,$B$5)</f>
        <v>0.0675055691124274</v>
      </c>
      <c r="E21" s="15" t="n">
        <f aca="false">B21/$B$7</f>
        <v>13.3333333333333</v>
      </c>
      <c r="F21" s="16" t="n">
        <f aca="false">100*B21/$B$52</f>
        <v>0.595238095238095</v>
      </c>
      <c r="G21" s="16" t="n">
        <f aca="false">100*C21/$B$6</f>
        <v>13.3333333333333</v>
      </c>
      <c r="H21" s="16" t="n">
        <f aca="false">IF(G21=0,0,100*G21/$G$52)</f>
        <v>2.06185567010309</v>
      </c>
      <c r="I21" s="16" t="n">
        <f aca="false">D21/$B$7</f>
        <v>0.225018563708091</v>
      </c>
      <c r="J21" s="16" t="n">
        <f aca="false">100*D21/$D$52</f>
        <v>0.693264979351401</v>
      </c>
      <c r="K21" s="16" t="n">
        <f aca="false">F21+H21+J21</f>
        <v>3.35035874469259</v>
      </c>
      <c r="L21" s="16" t="n">
        <f aca="false">K21/3</f>
        <v>1.11678624823086</v>
      </c>
      <c r="M21" s="16" t="n">
        <f aca="false">F21+J21</f>
        <v>1.2885030745895</v>
      </c>
      <c r="N21" s="16" t="n">
        <f aca="false">M21/2</f>
        <v>0.644251537294748</v>
      </c>
      <c r="O21" s="16" t="n">
        <f aca="false">IF(B21=0,"",RANK(K21,$K$10:$K$51))</f>
        <v>12</v>
      </c>
    </row>
    <row r="22" customFormat="false" ht="15" hidden="false" customHeight="false" outlineLevel="0" collapsed="false">
      <c r="A22" s="12" t="s">
        <v>66</v>
      </c>
      <c r="B22" s="13" t="n">
        <f aca="false">SUMIFS(matriz!$B$15:$P$15,matriz!$B$1:$P$1,$B$5)</f>
        <v>4</v>
      </c>
      <c r="C22" s="13" t="n">
        <f aca="false">COUNTIFS(matriz!$B$15:$P$15,"&gt;0",matriz!$B$1:$P$1,$B$5)</f>
        <v>2</v>
      </c>
      <c r="D22" s="14" t="n">
        <f aca="false">SUMIFS(arvores!$G$2:$G$673,arvores!$D$2:$D$673,A22,arvores!$A$2:$A$673,$B$5)</f>
        <v>0.0488048632991297</v>
      </c>
      <c r="E22" s="15" t="n">
        <f aca="false">B22/$B$7</f>
        <v>13.3333333333333</v>
      </c>
      <c r="F22" s="16" t="n">
        <f aca="false">100*B22/$B$52</f>
        <v>0.595238095238095</v>
      </c>
      <c r="G22" s="16" t="n">
        <f aca="false">100*C22/$B$6</f>
        <v>13.3333333333333</v>
      </c>
      <c r="H22" s="16" t="n">
        <f aca="false">IF(G22=0,0,100*G22/$G$52)</f>
        <v>2.06185567010309</v>
      </c>
      <c r="I22" s="16" t="n">
        <f aca="false">D22/$B$7</f>
        <v>0.162682877663766</v>
      </c>
      <c r="J22" s="16" t="n">
        <f aca="false">100*D22/$D$52</f>
        <v>0.501213499747984</v>
      </c>
      <c r="K22" s="16" t="n">
        <f aca="false">F22+H22+J22</f>
        <v>3.15830726508917</v>
      </c>
      <c r="L22" s="16" t="n">
        <f aca="false">K22/3</f>
        <v>1.05276908836306</v>
      </c>
      <c r="M22" s="16" t="n">
        <f aca="false">F22+J22</f>
        <v>1.09645159498608</v>
      </c>
      <c r="N22" s="16" t="n">
        <f aca="false">M22/2</f>
        <v>0.548225797493039</v>
      </c>
      <c r="O22" s="16" t="n">
        <f aca="false">IF(B22=0,"",RANK(K22,$K$10:$K$51))</f>
        <v>13</v>
      </c>
    </row>
    <row r="23" customFormat="false" ht="15" hidden="false" customHeight="false" outlineLevel="0" collapsed="false">
      <c r="A23" s="12" t="s">
        <v>72</v>
      </c>
      <c r="B23" s="13" t="n">
        <f aca="false">SUMIFS(matriz!$B$16:$P$16,matriz!$B$1:$P$1,$B$5)</f>
        <v>2</v>
      </c>
      <c r="C23" s="13" t="n">
        <f aca="false">COUNTIFS(matriz!$B$16:$P$16,"&gt;0",matriz!$B$1:$P$1,$B$5)</f>
        <v>2</v>
      </c>
      <c r="D23" s="14" t="n">
        <f aca="false">SUMIFS(arvores!$G$2:$G$673,arvores!$D$2:$D$673,A23,arvores!$A$2:$A$673,$B$5)</f>
        <v>0.069654160844168</v>
      </c>
      <c r="E23" s="15" t="n">
        <f aca="false">B23/$B$7</f>
        <v>6.66666666666667</v>
      </c>
      <c r="F23" s="16" t="n">
        <f aca="false">100*B23/$B$52</f>
        <v>0.297619047619048</v>
      </c>
      <c r="G23" s="16" t="n">
        <f aca="false">100*C23/$B$6</f>
        <v>13.3333333333333</v>
      </c>
      <c r="H23" s="16" t="n">
        <f aca="false">IF(G23=0,0,100*G23/$G$52)</f>
        <v>2.06185567010309</v>
      </c>
      <c r="I23" s="16" t="n">
        <f aca="false">D23/$B$7</f>
        <v>0.232180536147227</v>
      </c>
      <c r="J23" s="16" t="n">
        <f aca="false">100*D23/$D$52</f>
        <v>0.715330468497326</v>
      </c>
      <c r="K23" s="16" t="n">
        <f aca="false">F23+H23+J23</f>
        <v>3.07480518621947</v>
      </c>
      <c r="L23" s="16" t="n">
        <f aca="false">K23/3</f>
        <v>1.02493506207316</v>
      </c>
      <c r="M23" s="16" t="n">
        <f aca="false">F23+J23</f>
        <v>1.01294951611637</v>
      </c>
      <c r="N23" s="16" t="n">
        <f aca="false">M23/2</f>
        <v>0.506474758058187</v>
      </c>
      <c r="O23" s="16" t="n">
        <f aca="false">IF(B23=0,"",RANK(K23,$K$10:$K$51))</f>
        <v>14</v>
      </c>
    </row>
    <row r="24" customFormat="false" ht="15" hidden="false" customHeight="false" outlineLevel="0" collapsed="false">
      <c r="A24" s="12" t="s">
        <v>57</v>
      </c>
      <c r="B24" s="13" t="n">
        <f aca="false">SUMIFS(matriz!$B$17:$P$17,matriz!$B$1:$P$1,$B$5)</f>
        <v>2</v>
      </c>
      <c r="C24" s="13" t="n">
        <f aca="false">COUNTIFS(matriz!$B$17:$P$17,"&gt;0",matriz!$B$1:$P$1,$B$5)</f>
        <v>2</v>
      </c>
      <c r="D24" s="14" t="n">
        <f aca="false">SUMIFS(arvores!$G$2:$G$673,arvores!$D$2:$D$673,A24,arvores!$A$2:$A$673,$B$5)</f>
        <v>0.0653251463920684</v>
      </c>
      <c r="E24" s="15" t="n">
        <f aca="false">B24/$B$7</f>
        <v>6.66666666666667</v>
      </c>
      <c r="F24" s="16" t="n">
        <f aca="false">100*B24/$B$52</f>
        <v>0.297619047619048</v>
      </c>
      <c r="G24" s="16" t="n">
        <f aca="false">100*C24/$B$6</f>
        <v>13.3333333333333</v>
      </c>
      <c r="H24" s="16" t="n">
        <f aca="false">IF(G24=0,0,100*G24/$G$52)</f>
        <v>2.06185567010309</v>
      </c>
      <c r="I24" s="16" t="n">
        <f aca="false">D24/$B$7</f>
        <v>0.217750487973561</v>
      </c>
      <c r="J24" s="16" t="n">
        <f aca="false">100*D24/$D$52</f>
        <v>0.670872594069981</v>
      </c>
      <c r="K24" s="16" t="n">
        <f aca="false">F24+H24+J24</f>
        <v>3.03034731179212</v>
      </c>
      <c r="L24" s="16" t="n">
        <f aca="false">K24/3</f>
        <v>1.01011577059737</v>
      </c>
      <c r="M24" s="16" t="n">
        <f aca="false">F24+J24</f>
        <v>0.968491641689029</v>
      </c>
      <c r="N24" s="16" t="n">
        <f aca="false">M24/2</f>
        <v>0.484245820844515</v>
      </c>
      <c r="O24" s="16" t="n">
        <f aca="false">IF(B24=0,"",RANK(K24,$K$10:$K$51))</f>
        <v>15</v>
      </c>
    </row>
    <row r="25" customFormat="false" ht="15" hidden="false" customHeight="false" outlineLevel="0" collapsed="false">
      <c r="A25" s="12" t="s">
        <v>56</v>
      </c>
      <c r="B25" s="13" t="n">
        <f aca="false">SUMIFS(matriz!$B$18:$P$18,matriz!$B$1:$P$1,$B$5)</f>
        <v>3</v>
      </c>
      <c r="C25" s="13" t="n">
        <f aca="false">COUNTIFS(matriz!$B$18:$P$18,"&gt;0",matriz!$B$1:$P$1,$B$5)</f>
        <v>2</v>
      </c>
      <c r="D25" s="14" t="n">
        <f aca="false">SUMIFS(arvores!$G$2:$G$673,arvores!$D$2:$D$673,A25,arvores!$A$2:$A$673,$B$5)</f>
        <v>0.0323880309192007</v>
      </c>
      <c r="E25" s="15" t="n">
        <f aca="false">B25/$B$7</f>
        <v>10</v>
      </c>
      <c r="F25" s="16" t="n">
        <f aca="false">100*B25/$B$52</f>
        <v>0.446428571428571</v>
      </c>
      <c r="G25" s="16" t="n">
        <f aca="false">100*C25/$B$6</f>
        <v>13.3333333333333</v>
      </c>
      <c r="H25" s="16" t="n">
        <f aca="false">IF(G25=0,0,100*G25/$G$52)</f>
        <v>2.06185567010309</v>
      </c>
      <c r="I25" s="16" t="n">
        <f aca="false">D25/$B$7</f>
        <v>0.107960103064002</v>
      </c>
      <c r="J25" s="16" t="n">
        <f aca="false">100*D25/$D$52</f>
        <v>0.332616817866345</v>
      </c>
      <c r="K25" s="16" t="n">
        <f aca="false">F25+H25+J25</f>
        <v>2.84090105939801</v>
      </c>
      <c r="L25" s="16" t="n">
        <f aca="false">K25/3</f>
        <v>0.946967019799336</v>
      </c>
      <c r="M25" s="16" t="n">
        <f aca="false">F25+J25</f>
        <v>0.779045389294916</v>
      </c>
      <c r="N25" s="16" t="n">
        <f aca="false">M25/2</f>
        <v>0.389522694647458</v>
      </c>
      <c r="O25" s="16" t="n">
        <f aca="false">IF(B25=0,"",RANK(K25,$K$10:$K$51))</f>
        <v>16</v>
      </c>
    </row>
    <row r="26" customFormat="false" ht="15" hidden="false" customHeight="false" outlineLevel="0" collapsed="false">
      <c r="A26" s="12" t="s">
        <v>53</v>
      </c>
      <c r="B26" s="13" t="n">
        <f aca="false">SUMIFS(matriz!$B$19:$P$19,matriz!$B$1:$P$1,$B$5)</f>
        <v>2</v>
      </c>
      <c r="C26" s="13" t="n">
        <f aca="false">COUNTIFS(matriz!$B$19:$P$19,"&gt;0",matriz!$B$1:$P$1,$B$5)</f>
        <v>2</v>
      </c>
      <c r="D26" s="14" t="n">
        <f aca="false">SUMIFS(arvores!$G$2:$G$673,arvores!$D$2:$D$673,A26,arvores!$A$2:$A$673,$B$5)</f>
        <v>0.0338840873842645</v>
      </c>
      <c r="E26" s="15" t="n">
        <f aca="false">B26/$B$7</f>
        <v>6.66666666666667</v>
      </c>
      <c r="F26" s="16" t="n">
        <f aca="false">100*B26/$B$52</f>
        <v>0.297619047619048</v>
      </c>
      <c r="G26" s="16" t="n">
        <f aca="false">100*C26/$B$6</f>
        <v>13.3333333333333</v>
      </c>
      <c r="H26" s="16" t="n">
        <f aca="false">IF(G26=0,0,100*G26/$G$52)</f>
        <v>2.06185567010309</v>
      </c>
      <c r="I26" s="16" t="n">
        <f aca="false">D26/$B$7</f>
        <v>0.112946957947548</v>
      </c>
      <c r="J26" s="16" t="n">
        <f aca="false">100*D26/$D$52</f>
        <v>0.347980936234618</v>
      </c>
      <c r="K26" s="16" t="n">
        <f aca="false">F26+H26+J26</f>
        <v>2.70745565395676</v>
      </c>
      <c r="L26" s="16" t="n">
        <f aca="false">K26/3</f>
        <v>0.902485217985586</v>
      </c>
      <c r="M26" s="16" t="n">
        <f aca="false">F26+J26</f>
        <v>0.645599983853666</v>
      </c>
      <c r="N26" s="16" t="n">
        <f aca="false">M26/2</f>
        <v>0.322799991926833</v>
      </c>
      <c r="O26" s="16" t="n">
        <f aca="false">IF(B26=0,"",RANK(K26,$K$10:$K$51))</f>
        <v>17</v>
      </c>
    </row>
    <row r="27" customFormat="false" ht="15" hidden="false" customHeight="false" outlineLevel="0" collapsed="false">
      <c r="A27" s="12" t="s">
        <v>59</v>
      </c>
      <c r="B27" s="13" t="n">
        <f aca="false">SUMIFS(matriz!$B$20:$P$20,matriz!$B$1:$P$1,$B$5)</f>
        <v>3</v>
      </c>
      <c r="C27" s="13" t="n">
        <f aca="false">COUNTIFS(matriz!$B$20:$P$20,"&gt;0",matriz!$B$1:$P$1,$B$5)</f>
        <v>2</v>
      </c>
      <c r="D27" s="14" t="n">
        <f aca="false">SUMIFS(arvores!$G$2:$G$673,arvores!$D$2:$D$673,A27,arvores!$A$2:$A$673,$B$5)</f>
        <v>0.0143398603725798</v>
      </c>
      <c r="E27" s="15" t="n">
        <f aca="false">B27/$B$7</f>
        <v>10</v>
      </c>
      <c r="F27" s="16" t="n">
        <f aca="false">100*B27/$B$52</f>
        <v>0.446428571428571</v>
      </c>
      <c r="G27" s="16" t="n">
        <f aca="false">100*C27/$B$6</f>
        <v>13.3333333333333</v>
      </c>
      <c r="H27" s="16" t="n">
        <f aca="false">IF(G27=0,0,100*G27/$G$52)</f>
        <v>2.06185567010309</v>
      </c>
      <c r="I27" s="16" t="n">
        <f aca="false">D27/$B$7</f>
        <v>0.0477995345752659</v>
      </c>
      <c r="J27" s="16" t="n">
        <f aca="false">100*D27/$D$52</f>
        <v>0.147266709040578</v>
      </c>
      <c r="K27" s="16" t="n">
        <f aca="false">F27+H27+J27</f>
        <v>2.65555095057224</v>
      </c>
      <c r="L27" s="16" t="n">
        <f aca="false">K27/3</f>
        <v>0.885183650190748</v>
      </c>
      <c r="M27" s="16" t="n">
        <f aca="false">F27+J27</f>
        <v>0.59369528046915</v>
      </c>
      <c r="N27" s="16" t="n">
        <f aca="false">M27/2</f>
        <v>0.296847640234575</v>
      </c>
      <c r="O27" s="16" t="n">
        <f aca="false">IF(B27=0,"",RANK(K27,$K$10:$K$51))</f>
        <v>18</v>
      </c>
    </row>
    <row r="28" customFormat="false" ht="15" hidden="false" customHeight="false" outlineLevel="0" collapsed="false">
      <c r="A28" s="12" t="s">
        <v>68</v>
      </c>
      <c r="B28" s="13" t="n">
        <f aca="false">SUMIFS(matriz!$B$21:$P$21,matriz!$B$1:$P$1,$B$5)</f>
        <v>2</v>
      </c>
      <c r="C28" s="13" t="n">
        <f aca="false">COUNTIFS(matriz!$B$21:$P$21,"&gt;0",matriz!$B$1:$P$1,$B$5)</f>
        <v>2</v>
      </c>
      <c r="D28" s="14" t="n">
        <f aca="false">SUMIFS(arvores!$G$2:$G$673,arvores!$D$2:$D$673,A28,arvores!$A$2:$A$673,$B$5)</f>
        <v>0.0175866212116544</v>
      </c>
      <c r="E28" s="15" t="n">
        <f aca="false">B28/$B$7</f>
        <v>6.66666666666667</v>
      </c>
      <c r="F28" s="16" t="n">
        <f aca="false">100*B28/$B$52</f>
        <v>0.297619047619048</v>
      </c>
      <c r="G28" s="16" t="n">
        <f aca="false">100*C28/$B$6</f>
        <v>13.3333333333333</v>
      </c>
      <c r="H28" s="16" t="n">
        <f aca="false">IF(G28=0,0,100*G28/$G$52)</f>
        <v>2.06185567010309</v>
      </c>
      <c r="I28" s="16" t="n">
        <f aca="false">D28/$B$7</f>
        <v>0.0586220707055148</v>
      </c>
      <c r="J28" s="16" t="n">
        <f aca="false">100*D28/$D$52</f>
        <v>0.180610114861086</v>
      </c>
      <c r="K28" s="16" t="n">
        <f aca="false">F28+H28+J28</f>
        <v>2.54008483258323</v>
      </c>
      <c r="L28" s="16" t="n">
        <f aca="false">K28/3</f>
        <v>0.846694944194409</v>
      </c>
      <c r="M28" s="16" t="n">
        <f aca="false">F28+J28</f>
        <v>0.478229162480134</v>
      </c>
      <c r="N28" s="16" t="n">
        <f aca="false">M28/2</f>
        <v>0.239114581240067</v>
      </c>
      <c r="O28" s="16" t="n">
        <f aca="false">IF(B28=0,"",RANK(K28,$K$10:$K$51))</f>
        <v>19</v>
      </c>
    </row>
    <row r="29" customFormat="false" ht="15" hidden="false" customHeight="false" outlineLevel="0" collapsed="false">
      <c r="A29" s="12" t="s">
        <v>74</v>
      </c>
      <c r="B29" s="13" t="n">
        <f aca="false">SUMIFS(matriz!$B$22:$P$22,matriz!$B$1:$P$1,$B$5)</f>
        <v>2</v>
      </c>
      <c r="C29" s="13" t="n">
        <f aca="false">COUNTIFS(matriz!$B$22:$P$22,"&gt;0",matriz!$B$1:$P$1,$B$5)</f>
        <v>2</v>
      </c>
      <c r="D29" s="14" t="n">
        <f aca="false">SUMIFS(arvores!$G$2:$G$673,arvores!$D$2:$D$673,A29,arvores!$A$2:$A$673,$B$5)</f>
        <v>0.00541126806512444</v>
      </c>
      <c r="E29" s="15" t="n">
        <f aca="false">B29/$B$7</f>
        <v>6.66666666666667</v>
      </c>
      <c r="F29" s="16" t="n">
        <f aca="false">100*B29/$B$52</f>
        <v>0.297619047619048</v>
      </c>
      <c r="G29" s="16" t="n">
        <f aca="false">100*C29/$B$6</f>
        <v>13.3333333333333</v>
      </c>
      <c r="H29" s="16" t="n">
        <f aca="false">IF(G29=0,0,100*G29/$G$52)</f>
        <v>2.06185567010309</v>
      </c>
      <c r="I29" s="16" t="n">
        <f aca="false">D29/$B$7</f>
        <v>0.0180375602170815</v>
      </c>
      <c r="J29" s="16" t="n">
        <f aca="false">100*D29/$D$52</f>
        <v>0.0555723430341805</v>
      </c>
      <c r="K29" s="16" t="n">
        <f aca="false">F29+H29+J29</f>
        <v>2.41504706075632</v>
      </c>
      <c r="L29" s="16" t="n">
        <f aca="false">K29/3</f>
        <v>0.805015686918774</v>
      </c>
      <c r="M29" s="16" t="n">
        <f aca="false">F29+J29</f>
        <v>0.353191390653228</v>
      </c>
      <c r="N29" s="16" t="n">
        <f aca="false">M29/2</f>
        <v>0.176595695326614</v>
      </c>
      <c r="O29" s="16" t="n">
        <f aca="false">IF(B29=0,"",RANK(K29,$K$10:$K$51))</f>
        <v>20</v>
      </c>
    </row>
    <row r="30" customFormat="false" ht="15" hidden="false" customHeight="false" outlineLevel="0" collapsed="false">
      <c r="A30" s="12" t="s">
        <v>75</v>
      </c>
      <c r="B30" s="13" t="n">
        <f aca="false">SUMIFS(matriz!$B$23:$P$23,matriz!$B$1:$P$1,$B$5)</f>
        <v>3</v>
      </c>
      <c r="C30" s="13" t="n">
        <f aca="false">COUNTIFS(matriz!$B$23:$P$23,"&gt;0",matriz!$B$1:$P$1,$B$5)</f>
        <v>1</v>
      </c>
      <c r="D30" s="14" t="n">
        <f aca="false">SUMIFS(arvores!$G$2:$G$673,arvores!$D$2:$D$673,A30,arvores!$A$2:$A$673,$B$5)</f>
        <v>0.030104157485832</v>
      </c>
      <c r="E30" s="15" t="n">
        <f aca="false">B30/$B$7</f>
        <v>10</v>
      </c>
      <c r="F30" s="16" t="n">
        <f aca="false">100*B30/$B$52</f>
        <v>0.446428571428571</v>
      </c>
      <c r="G30" s="16" t="n">
        <f aca="false">100*C30/$B$6</f>
        <v>6.66666666666667</v>
      </c>
      <c r="H30" s="16" t="n">
        <f aca="false">IF(G30=0,0,100*G30/$G$52)</f>
        <v>1.03092783505155</v>
      </c>
      <c r="I30" s="16" t="n">
        <f aca="false">D30/$B$7</f>
        <v>0.10034719161944</v>
      </c>
      <c r="J30" s="16" t="n">
        <f aca="false">100*D30/$D$52</f>
        <v>0.309162020144566</v>
      </c>
      <c r="K30" s="16" t="n">
        <f aca="false">F30+H30+J30</f>
        <v>1.78651842662468</v>
      </c>
      <c r="L30" s="16" t="n">
        <f aca="false">K30/3</f>
        <v>0.595506142208228</v>
      </c>
      <c r="M30" s="16" t="n">
        <f aca="false">F30+J30</f>
        <v>0.755590591573137</v>
      </c>
      <c r="N30" s="16" t="n">
        <f aca="false">M30/2</f>
        <v>0.377795295786569</v>
      </c>
      <c r="O30" s="16" t="n">
        <f aca="false">IF(B30=0,"",RANK(K30,$K$10:$K$51))</f>
        <v>21</v>
      </c>
    </row>
    <row r="31" customFormat="false" ht="15" hidden="false" customHeight="false" outlineLevel="0" collapsed="false">
      <c r="A31" s="12" t="s">
        <v>39</v>
      </c>
      <c r="B31" s="13" t="n">
        <f aca="false">SUMIFS(matriz!$B$24:$P$24,matriz!$B$1:$P$1,$B$5)</f>
        <v>1</v>
      </c>
      <c r="C31" s="13" t="n">
        <f aca="false">COUNTIFS(matriz!$B$24:$P$24,"&gt;0",matriz!$B$1:$P$1,$B$5)</f>
        <v>1</v>
      </c>
      <c r="D31" s="14" t="n">
        <f aca="false">SUMIFS(arvores!$G$2:$G$673,arvores!$D$2:$D$673,A31,arvores!$A$2:$A$673,$B$5)</f>
        <v>0.0447623277445956</v>
      </c>
      <c r="E31" s="15" t="n">
        <f aca="false">B31/$B$7</f>
        <v>3.33333333333333</v>
      </c>
      <c r="F31" s="16" t="n">
        <f aca="false">100*B31/$B$52</f>
        <v>0.148809523809524</v>
      </c>
      <c r="G31" s="16" t="n">
        <f aca="false">100*C31/$B$6</f>
        <v>6.66666666666667</v>
      </c>
      <c r="H31" s="16" t="n">
        <f aca="false">IF(G31=0,0,100*G31/$G$52)</f>
        <v>1.03092783505155</v>
      </c>
      <c r="I31" s="16" t="n">
        <f aca="false">D31/$B$7</f>
        <v>0.149207759148652</v>
      </c>
      <c r="J31" s="16" t="n">
        <f aca="false">100*D31/$D$52</f>
        <v>0.459697690540096</v>
      </c>
      <c r="K31" s="16" t="n">
        <f aca="false">F31+H31+J31</f>
        <v>1.63943504940117</v>
      </c>
      <c r="L31" s="16" t="n">
        <f aca="false">K31/3</f>
        <v>0.546478349800389</v>
      </c>
      <c r="M31" s="16" t="n">
        <f aca="false">F31+J31</f>
        <v>0.608507214349619</v>
      </c>
      <c r="N31" s="16" t="n">
        <f aca="false">M31/2</f>
        <v>0.30425360717481</v>
      </c>
      <c r="O31" s="16" t="n">
        <f aca="false">IF(B31=0,"",RANK(K31,$K$10:$K$51))</f>
        <v>22</v>
      </c>
    </row>
    <row r="32" customFormat="false" ht="15" hidden="false" customHeight="false" outlineLevel="0" collapsed="false">
      <c r="A32" s="12" t="s">
        <v>36</v>
      </c>
      <c r="B32" s="13" t="n">
        <f aca="false">SUMIFS(matriz!$B$25:$P$25,matriz!$B$1:$P$1,$B$5)</f>
        <v>1</v>
      </c>
      <c r="C32" s="13" t="n">
        <f aca="false">COUNTIFS(matriz!$B$25:$P$25,"&gt;0",matriz!$B$1:$P$1,$B$5)</f>
        <v>1</v>
      </c>
      <c r="D32" s="14" t="n">
        <f aca="false">SUMIFS(arvores!$G$2:$G$673,arvores!$D$2:$D$673,A32,arvores!$A$2:$A$673,$B$5)</f>
        <v>0.0412529612494193</v>
      </c>
      <c r="E32" s="15" t="n">
        <f aca="false">B32/$B$7</f>
        <v>3.33333333333333</v>
      </c>
      <c r="F32" s="16" t="n">
        <f aca="false">100*B32/$B$52</f>
        <v>0.148809523809524</v>
      </c>
      <c r="G32" s="16" t="n">
        <f aca="false">100*C32/$B$6</f>
        <v>6.66666666666667</v>
      </c>
      <c r="H32" s="16" t="n">
        <f aca="false">IF(G32=0,0,100*G32/$G$52)</f>
        <v>1.03092783505155</v>
      </c>
      <c r="I32" s="16" t="n">
        <f aca="false">D32/$B$7</f>
        <v>0.137509870831398</v>
      </c>
      <c r="J32" s="16" t="n">
        <f aca="false">100*D32/$D$52</f>
        <v>0.423657391601752</v>
      </c>
      <c r="K32" s="16" t="n">
        <f aca="false">F32+H32+J32</f>
        <v>1.60339475046282</v>
      </c>
      <c r="L32" s="16" t="n">
        <f aca="false">K32/3</f>
        <v>0.534464916820941</v>
      </c>
      <c r="M32" s="16" t="n">
        <f aca="false">F32+J32</f>
        <v>0.572466915411276</v>
      </c>
      <c r="N32" s="16" t="n">
        <f aca="false">M32/2</f>
        <v>0.286233457705638</v>
      </c>
      <c r="O32" s="16" t="n">
        <f aca="false">IF(B32=0,"",RANK(K32,$K$10:$K$51))</f>
        <v>23</v>
      </c>
    </row>
    <row r="33" customFormat="false" ht="15" hidden="false" customHeight="false" outlineLevel="0" collapsed="false">
      <c r="A33" s="12" t="s">
        <v>78</v>
      </c>
      <c r="B33" s="13" t="n">
        <f aca="false">SUMIFS(matriz!$B$26:$P$26,matriz!$B$1:$P$1,$B$5)</f>
        <v>2</v>
      </c>
      <c r="C33" s="13" t="n">
        <f aca="false">COUNTIFS(matriz!$B$26:$P$26,"&gt;0",matriz!$B$1:$P$1,$B$5)</f>
        <v>1</v>
      </c>
      <c r="D33" s="14" t="n">
        <f aca="false">SUMIFS(arvores!$G$2:$G$673,arvores!$D$2:$D$673,A33,arvores!$A$2:$A$673,$B$5)</f>
        <v>0.0237857062450838</v>
      </c>
      <c r="E33" s="15" t="n">
        <f aca="false">B33/$B$7</f>
        <v>6.66666666666667</v>
      </c>
      <c r="F33" s="16" t="n">
        <f aca="false">100*B33/$B$52</f>
        <v>0.297619047619048</v>
      </c>
      <c r="G33" s="16" t="n">
        <f aca="false">100*C33/$B$6</f>
        <v>6.66666666666667</v>
      </c>
      <c r="H33" s="16" t="n">
        <f aca="false">IF(G33=0,0,100*G33/$G$52)</f>
        <v>1.03092783505155</v>
      </c>
      <c r="I33" s="16" t="n">
        <f aca="false">D33/$B$7</f>
        <v>0.0792856874836125</v>
      </c>
      <c r="J33" s="16" t="n">
        <f aca="false">100*D33/$D$52</f>
        <v>0.244273137248773</v>
      </c>
      <c r="K33" s="16" t="n">
        <f aca="false">F33+H33+J33</f>
        <v>1.57282001991937</v>
      </c>
      <c r="L33" s="16" t="n">
        <f aca="false">K33/3</f>
        <v>0.524273339973122</v>
      </c>
      <c r="M33" s="16" t="n">
        <f aca="false">F33+J33</f>
        <v>0.54189218486782</v>
      </c>
      <c r="N33" s="16" t="n">
        <f aca="false">M33/2</f>
        <v>0.27094609243391</v>
      </c>
      <c r="O33" s="16" t="n">
        <f aca="false">IF(B33=0,"",RANK(K33,$K$10:$K$51))</f>
        <v>24</v>
      </c>
    </row>
    <row r="34" customFormat="false" ht="15" hidden="false" customHeight="false" outlineLevel="0" collapsed="false">
      <c r="A34" s="12" t="s">
        <v>76</v>
      </c>
      <c r="B34" s="13" t="n">
        <f aca="false">SUMIFS(matriz!$B$27:$P$27,matriz!$B$1:$P$1,$B$5)</f>
        <v>2</v>
      </c>
      <c r="C34" s="13" t="n">
        <f aca="false">COUNTIFS(matriz!$B$27:$P$27,"&gt;0",matriz!$B$1:$P$1,$B$5)</f>
        <v>1</v>
      </c>
      <c r="D34" s="14" t="n">
        <f aca="false">SUMIFS(arvores!$G$2:$G$673,arvores!$D$2:$D$673,A34,arvores!$A$2:$A$673,$B$5)</f>
        <v>0.0232764104271897</v>
      </c>
      <c r="E34" s="15" t="n">
        <f aca="false">B34/$B$7</f>
        <v>6.66666666666667</v>
      </c>
      <c r="F34" s="16" t="n">
        <f aca="false">100*B34/$B$52</f>
        <v>0.297619047619048</v>
      </c>
      <c r="G34" s="16" t="n">
        <f aca="false">100*C34/$B$6</f>
        <v>6.66666666666667</v>
      </c>
      <c r="H34" s="16" t="n">
        <f aca="false">IF(G34=0,0,100*G34/$G$52)</f>
        <v>1.03092783505155</v>
      </c>
      <c r="I34" s="16" t="n">
        <f aca="false">D34/$B$7</f>
        <v>0.077588034757299</v>
      </c>
      <c r="J34" s="16" t="n">
        <f aca="false">100*D34/$D$52</f>
        <v>0.23904279908085</v>
      </c>
      <c r="K34" s="16" t="n">
        <f aca="false">F34+H34+J34</f>
        <v>1.56758968175144</v>
      </c>
      <c r="L34" s="16" t="n">
        <f aca="false">K34/3</f>
        <v>0.522529893917148</v>
      </c>
      <c r="M34" s="16" t="n">
        <f aca="false">F34+J34</f>
        <v>0.536661846699897</v>
      </c>
      <c r="N34" s="16" t="n">
        <f aca="false">M34/2</f>
        <v>0.268330923349949</v>
      </c>
      <c r="O34" s="16" t="n">
        <f aca="false">IF(B34=0,"",RANK(K34,$K$10:$K$51))</f>
        <v>25</v>
      </c>
    </row>
    <row r="35" customFormat="false" ht="15" hidden="false" customHeight="false" outlineLevel="0" collapsed="false">
      <c r="A35" s="12" t="s">
        <v>62</v>
      </c>
      <c r="B35" s="13" t="n">
        <f aca="false">SUMIFS(matriz!$B$28:$P$28,matriz!$B$1:$P$1,$B$5)</f>
        <v>1</v>
      </c>
      <c r="C35" s="13" t="n">
        <f aca="false">COUNTIFS(matriz!$B$28:$P$28,"&gt;0",matriz!$B$1:$P$1,$B$5)</f>
        <v>1</v>
      </c>
      <c r="D35" s="14" t="n">
        <f aca="false">SUMIFS(arvores!$G$2:$G$673,arvores!$D$2:$D$673,A35,arvores!$A$2:$A$673,$B$5)</f>
        <v>0.032244791470418</v>
      </c>
      <c r="E35" s="15" t="n">
        <f aca="false">B35/$B$7</f>
        <v>3.33333333333333</v>
      </c>
      <c r="F35" s="16" t="n">
        <f aca="false">100*B35/$B$52</f>
        <v>0.148809523809524</v>
      </c>
      <c r="G35" s="16" t="n">
        <f aca="false">100*C35/$B$6</f>
        <v>6.66666666666667</v>
      </c>
      <c r="H35" s="16" t="n">
        <f aca="false">IF(G35=0,0,100*G35/$G$52)</f>
        <v>1.03092783505155</v>
      </c>
      <c r="I35" s="16" t="n">
        <f aca="false">D35/$B$7</f>
        <v>0.107482638234727</v>
      </c>
      <c r="J35" s="16" t="n">
        <f aca="false">100*D35/$D$52</f>
        <v>0.331145785256617</v>
      </c>
      <c r="K35" s="16" t="n">
        <f aca="false">F35+H35+J35</f>
        <v>1.51088314411769</v>
      </c>
      <c r="L35" s="16" t="n">
        <f aca="false">K35/3</f>
        <v>0.503627714705896</v>
      </c>
      <c r="M35" s="16" t="n">
        <f aca="false">F35+J35</f>
        <v>0.47995530906614</v>
      </c>
      <c r="N35" s="16" t="n">
        <f aca="false">M35/2</f>
        <v>0.23997765453307</v>
      </c>
      <c r="O35" s="16" t="n">
        <f aca="false">IF(B35=0,"",RANK(K35,$K$10:$K$51))</f>
        <v>26</v>
      </c>
    </row>
    <row r="36" customFormat="false" ht="15" hidden="false" customHeight="false" outlineLevel="0" collapsed="false">
      <c r="A36" s="12" t="s">
        <v>41</v>
      </c>
      <c r="B36" s="13" t="n">
        <f aca="false">SUMIFS(matriz!$B$29:$P$29,matriz!$B$1:$P$1,$B$5)</f>
        <v>1</v>
      </c>
      <c r="C36" s="13" t="n">
        <f aca="false">COUNTIFS(matriz!$B$29:$P$29,"&gt;0",matriz!$B$1:$P$1,$B$5)</f>
        <v>1</v>
      </c>
      <c r="D36" s="14" t="n">
        <f aca="false">SUMIFS(arvores!$G$2:$G$673,arvores!$D$2:$D$673,A36,arvores!$A$2:$A$673,$B$5)</f>
        <v>0.0286478897565412</v>
      </c>
      <c r="E36" s="15" t="n">
        <f aca="false">B36/$B$7</f>
        <v>3.33333333333333</v>
      </c>
      <c r="F36" s="16" t="n">
        <f aca="false">100*B36/$B$52</f>
        <v>0.148809523809524</v>
      </c>
      <c r="G36" s="16" t="n">
        <f aca="false">100*C36/$B$6</f>
        <v>6.66666666666667</v>
      </c>
      <c r="H36" s="16" t="n">
        <f aca="false">IF(G36=0,0,100*G36/$G$52)</f>
        <v>1.03092783505155</v>
      </c>
      <c r="I36" s="16" t="n">
        <f aca="false">D36/$B$7</f>
        <v>0.0954929658551372</v>
      </c>
      <c r="J36" s="16" t="n">
        <f aca="false">100*D36/$D$52</f>
        <v>0.294206521945661</v>
      </c>
      <c r="K36" s="16" t="n">
        <f aca="false">F36+H36+J36</f>
        <v>1.47394388080673</v>
      </c>
      <c r="L36" s="16" t="n">
        <f aca="false">K36/3</f>
        <v>0.491314626935577</v>
      </c>
      <c r="M36" s="16" t="n">
        <f aca="false">F36+J36</f>
        <v>0.443016045755185</v>
      </c>
      <c r="N36" s="16" t="n">
        <f aca="false">M36/2</f>
        <v>0.221508022877593</v>
      </c>
      <c r="O36" s="16" t="n">
        <f aca="false">IF(B36=0,"",RANK(K36,$K$10:$K$51))</f>
        <v>27</v>
      </c>
    </row>
    <row r="37" customFormat="false" ht="15" hidden="false" customHeight="false" outlineLevel="0" collapsed="false">
      <c r="A37" s="12" t="s">
        <v>46</v>
      </c>
      <c r="B37" s="13" t="n">
        <f aca="false">SUMIFS(matriz!$B$30:$P$30,matriz!$B$1:$P$1,$B$5)</f>
        <v>2</v>
      </c>
      <c r="C37" s="13" t="n">
        <f aca="false">COUNTIFS(matriz!$B$30:$P$30,"&gt;0",matriz!$B$1:$P$1,$B$5)</f>
        <v>1</v>
      </c>
      <c r="D37" s="14" t="n">
        <f aca="false">SUMIFS(arvores!$G$2:$G$673,arvores!$D$2:$D$673,A37,arvores!$A$2:$A$673,$B$5)</f>
        <v>0.00600014135456446</v>
      </c>
      <c r="E37" s="15" t="n">
        <f aca="false">B37/$B$7</f>
        <v>6.66666666666667</v>
      </c>
      <c r="F37" s="16" t="n">
        <f aca="false">100*B37/$B$52</f>
        <v>0.297619047619048</v>
      </c>
      <c r="G37" s="16" t="n">
        <f aca="false">100*C37/$B$6</f>
        <v>6.66666666666667</v>
      </c>
      <c r="H37" s="16" t="n">
        <f aca="false">IF(G37=0,0,100*G37/$G$52)</f>
        <v>1.03092783505155</v>
      </c>
      <c r="I37" s="16" t="n">
        <f aca="false">D37/$B$7</f>
        <v>0.0200004711818815</v>
      </c>
      <c r="J37" s="16" t="n">
        <f aca="false">100*D37/$D$52</f>
        <v>0.0616199215408413</v>
      </c>
      <c r="K37" s="16" t="n">
        <f aca="false">F37+H37+J37</f>
        <v>1.39016680421144</v>
      </c>
      <c r="L37" s="16" t="n">
        <f aca="false">K37/3</f>
        <v>0.463388934737145</v>
      </c>
      <c r="M37" s="16" t="n">
        <f aca="false">F37+J37</f>
        <v>0.359238969159889</v>
      </c>
      <c r="N37" s="16" t="n">
        <f aca="false">M37/2</f>
        <v>0.179619484579944</v>
      </c>
      <c r="O37" s="16" t="n">
        <f aca="false">IF(B37=0,"",RANK(K37,$K$10:$K$51))</f>
        <v>28</v>
      </c>
    </row>
    <row r="38" customFormat="false" ht="15" hidden="false" customHeight="false" outlineLevel="0" collapsed="false">
      <c r="A38" s="12" t="s">
        <v>69</v>
      </c>
      <c r="B38" s="13" t="n">
        <f aca="false">SUMIFS(matriz!$B$31:$P$31,matriz!$B$1:$P$1,$B$5)</f>
        <v>1</v>
      </c>
      <c r="C38" s="13" t="n">
        <f aca="false">COUNTIFS(matriz!$B$31:$P$31,"&gt;0",matriz!$B$1:$P$1,$B$5)</f>
        <v>1</v>
      </c>
      <c r="D38" s="14" t="n">
        <f aca="false">SUMIFS(arvores!$G$2:$G$673,arvores!$D$2:$D$673,A38,arvores!$A$2:$A$673,$B$5)</f>
        <v>0.0163133816669193</v>
      </c>
      <c r="E38" s="15" t="n">
        <f aca="false">B38/$B$7</f>
        <v>3.33333333333333</v>
      </c>
      <c r="F38" s="16" t="n">
        <f aca="false">100*B38/$B$52</f>
        <v>0.148809523809524</v>
      </c>
      <c r="G38" s="16" t="n">
        <f aca="false">100*C38/$B$6</f>
        <v>6.66666666666667</v>
      </c>
      <c r="H38" s="16" t="n">
        <f aca="false">IF(G38=0,0,100*G38/$G$52)</f>
        <v>1.03092783505155</v>
      </c>
      <c r="I38" s="16" t="n">
        <f aca="false">D38/$B$7</f>
        <v>0.0543779388897309</v>
      </c>
      <c r="J38" s="16" t="n">
        <f aca="false">100*D38/$D$52</f>
        <v>0.167534269441279</v>
      </c>
      <c r="K38" s="16" t="n">
        <f aca="false">F38+H38+J38</f>
        <v>1.34727162830235</v>
      </c>
      <c r="L38" s="16" t="n">
        <f aca="false">K38/3</f>
        <v>0.44909054276745</v>
      </c>
      <c r="M38" s="16" t="n">
        <f aca="false">F38+J38</f>
        <v>0.316343793250803</v>
      </c>
      <c r="N38" s="16" t="n">
        <f aca="false">M38/2</f>
        <v>0.158171896625402</v>
      </c>
      <c r="O38" s="16" t="n">
        <f aca="false">IF(B38=0,"",RANK(K38,$K$10:$K$51))</f>
        <v>29</v>
      </c>
    </row>
    <row r="39" customFormat="false" ht="15" hidden="false" customHeight="false" outlineLevel="0" collapsed="false">
      <c r="A39" s="12" t="s">
        <v>63</v>
      </c>
      <c r="B39" s="13" t="n">
        <f aca="false">SUMIFS(matriz!$B$32:$P$32,matriz!$B$1:$P$1,$B$5)</f>
        <v>1</v>
      </c>
      <c r="C39" s="13" t="n">
        <f aca="false">COUNTIFS(matriz!$B$32:$P$32,"&gt;0",matriz!$B$1:$P$1,$B$5)</f>
        <v>1</v>
      </c>
      <c r="D39" s="14" t="n">
        <f aca="false">SUMIFS(arvores!$G$2:$G$673,arvores!$D$2:$D$673,A39,arvores!$A$2:$A$673,$B$5)</f>
        <v>0.0140374659807052</v>
      </c>
      <c r="E39" s="15" t="n">
        <f aca="false">B39/$B$7</f>
        <v>3.33333333333333</v>
      </c>
      <c r="F39" s="16" t="n">
        <f aca="false">100*B39/$B$52</f>
        <v>0.148809523809524</v>
      </c>
      <c r="G39" s="16" t="n">
        <f aca="false">100*C39/$B$6</f>
        <v>6.66666666666667</v>
      </c>
      <c r="H39" s="16" t="n">
        <f aca="false">IF(G39=0,0,100*G39/$G$52)</f>
        <v>1.03092783505155</v>
      </c>
      <c r="I39" s="16" t="n">
        <f aca="false">D39/$B$7</f>
        <v>0.0467915532690172</v>
      </c>
      <c r="J39" s="16" t="n">
        <f aca="false">100*D39/$D$52</f>
        <v>0.144161195753374</v>
      </c>
      <c r="K39" s="16" t="n">
        <f aca="false">F39+H39+J39</f>
        <v>1.32389855461444</v>
      </c>
      <c r="L39" s="16" t="n">
        <f aca="false">K39/3</f>
        <v>0.441299518204815</v>
      </c>
      <c r="M39" s="16" t="n">
        <f aca="false">F39+J39</f>
        <v>0.292970719562898</v>
      </c>
      <c r="N39" s="16" t="n">
        <f aca="false">M39/2</f>
        <v>0.146485359781449</v>
      </c>
      <c r="O39" s="16" t="n">
        <f aca="false">IF(B39=0,"",RANK(K39,$K$10:$K$51))</f>
        <v>30</v>
      </c>
    </row>
    <row r="40" customFormat="false" ht="15" hidden="false" customHeight="false" outlineLevel="0" collapsed="false">
      <c r="A40" s="12" t="s">
        <v>58</v>
      </c>
      <c r="B40" s="13" t="n">
        <f aca="false">SUMIFS(matriz!$B$33:$P$33,matriz!$B$1:$P$1,$B$5)</f>
        <v>1</v>
      </c>
      <c r="C40" s="13" t="n">
        <f aca="false">COUNTIFS(matriz!$B$33:$P$33,"&gt;0",matriz!$B$1:$P$1,$B$5)</f>
        <v>1</v>
      </c>
      <c r="D40" s="14" t="n">
        <f aca="false">SUMIFS(arvores!$G$2:$G$673,arvores!$D$2:$D$673,A40,arvores!$A$2:$A$673,$B$5)</f>
        <v>0.0114909868912348</v>
      </c>
      <c r="E40" s="15" t="n">
        <f aca="false">B40/$B$7</f>
        <v>3.33333333333333</v>
      </c>
      <c r="F40" s="16" t="n">
        <f aca="false">100*B40/$B$52</f>
        <v>0.148809523809524</v>
      </c>
      <c r="G40" s="16" t="n">
        <f aca="false">100*C40/$B$6</f>
        <v>6.66666666666667</v>
      </c>
      <c r="H40" s="16" t="n">
        <f aca="false">IF(G40=0,0,100*G40/$G$52)</f>
        <v>1.03092783505155</v>
      </c>
      <c r="I40" s="16" t="n">
        <f aca="false">D40/$B$7</f>
        <v>0.0383032896374495</v>
      </c>
      <c r="J40" s="16" t="n">
        <f aca="false">100*D40/$D$52</f>
        <v>0.11800950491376</v>
      </c>
      <c r="K40" s="16" t="n">
        <f aca="false">F40+H40+J40</f>
        <v>1.29774686377483</v>
      </c>
      <c r="L40" s="16" t="n">
        <f aca="false">K40/3</f>
        <v>0.432582287924943</v>
      </c>
      <c r="M40" s="16" t="n">
        <f aca="false">F40+J40</f>
        <v>0.266819028723283</v>
      </c>
      <c r="N40" s="16" t="n">
        <f aca="false">M40/2</f>
        <v>0.133409514361642</v>
      </c>
      <c r="O40" s="16" t="n">
        <f aca="false">IF(B40=0,"",RANK(K40,$K$10:$K$51))</f>
        <v>31</v>
      </c>
    </row>
    <row r="41" customFormat="false" ht="15" hidden="false" customHeight="false" outlineLevel="0" collapsed="false">
      <c r="A41" s="12" t="s">
        <v>54</v>
      </c>
      <c r="B41" s="13" t="n">
        <f aca="false">SUMIFS(matriz!$B$34:$P$34,matriz!$B$1:$P$1,$B$5)</f>
        <v>1</v>
      </c>
      <c r="C41" s="13" t="n">
        <f aca="false">COUNTIFS(matriz!$B$34:$P$34,"&gt;0",matriz!$B$1:$P$1,$B$5)</f>
        <v>1</v>
      </c>
      <c r="D41" s="14" t="n">
        <f aca="false">SUMIFS(arvores!$G$2:$G$673,arvores!$D$2:$D$673,A41,arvores!$A$2:$A$673,$B$5)</f>
        <v>0.0108941558546402</v>
      </c>
      <c r="E41" s="15" t="n">
        <f aca="false">B41/$B$7</f>
        <v>3.33333333333333</v>
      </c>
      <c r="F41" s="16" t="n">
        <f aca="false">100*B41/$B$52</f>
        <v>0.148809523809524</v>
      </c>
      <c r="G41" s="16" t="n">
        <f aca="false">100*C41/$B$6</f>
        <v>6.66666666666667</v>
      </c>
      <c r="H41" s="16" t="n">
        <f aca="false">IF(G41=0,0,100*G41/$G$52)</f>
        <v>1.03092783505155</v>
      </c>
      <c r="I41" s="16" t="n">
        <f aca="false">D41/$B$7</f>
        <v>0.0363138528488008</v>
      </c>
      <c r="J41" s="16" t="n">
        <f aca="false">100*D41/$D$52</f>
        <v>0.111880202373225</v>
      </c>
      <c r="K41" s="16" t="n">
        <f aca="false">F41+H41+J41</f>
        <v>1.2916175612343</v>
      </c>
      <c r="L41" s="16" t="n">
        <f aca="false">K41/3</f>
        <v>0.430539187078098</v>
      </c>
      <c r="M41" s="16" t="n">
        <f aca="false">F41+J41</f>
        <v>0.260689726182749</v>
      </c>
      <c r="N41" s="16" t="n">
        <f aca="false">M41/2</f>
        <v>0.130344863091374</v>
      </c>
      <c r="O41" s="16" t="n">
        <f aca="false">IF(B41=0,"",RANK(K41,$K$10:$K$51))</f>
        <v>32</v>
      </c>
    </row>
    <row r="42" customFormat="false" ht="15" hidden="false" customHeight="false" outlineLevel="0" collapsed="false">
      <c r="A42" s="12" t="s">
        <v>67</v>
      </c>
      <c r="B42" s="13" t="n">
        <f aca="false">SUMIFS(matriz!$B$35:$P$35,matriz!$B$1:$P$1,$B$5)</f>
        <v>1</v>
      </c>
      <c r="C42" s="13" t="n">
        <f aca="false">COUNTIFS(matriz!$B$35:$P$35,"&gt;0",matriz!$B$1:$P$1,$B$5)</f>
        <v>1</v>
      </c>
      <c r="D42" s="14" t="n">
        <f aca="false">SUMIFS(arvores!$G$2:$G$673,arvores!$D$2:$D$673,A42,arvores!$A$2:$A$673,$B$5)</f>
        <v>0.0108941558546402</v>
      </c>
      <c r="E42" s="15" t="n">
        <f aca="false">B42/$B$7</f>
        <v>3.33333333333333</v>
      </c>
      <c r="F42" s="16" t="n">
        <f aca="false">100*B42/$B$52</f>
        <v>0.148809523809524</v>
      </c>
      <c r="G42" s="16" t="n">
        <f aca="false">100*C42/$B$6</f>
        <v>6.66666666666667</v>
      </c>
      <c r="H42" s="16" t="n">
        <f aca="false">IF(G42=0,0,100*G42/$G$52)</f>
        <v>1.03092783505155</v>
      </c>
      <c r="I42" s="16" t="n">
        <f aca="false">D42/$B$7</f>
        <v>0.0363138528488008</v>
      </c>
      <c r="J42" s="16" t="n">
        <f aca="false">100*D42/$D$52</f>
        <v>0.111880202373225</v>
      </c>
      <c r="K42" s="16" t="n">
        <f aca="false">F42+H42+J42</f>
        <v>1.2916175612343</v>
      </c>
      <c r="L42" s="16" t="n">
        <f aca="false">K42/3</f>
        <v>0.430539187078098</v>
      </c>
      <c r="M42" s="16" t="n">
        <f aca="false">F42+J42</f>
        <v>0.260689726182749</v>
      </c>
      <c r="N42" s="16" t="n">
        <f aca="false">M42/2</f>
        <v>0.130344863091374</v>
      </c>
      <c r="O42" s="16" t="n">
        <f aca="false">IF(B42=0,"",RANK(K42,$K$10:$K$51))</f>
        <v>32</v>
      </c>
    </row>
    <row r="43" customFormat="false" ht="15" hidden="false" customHeight="false" outlineLevel="0" collapsed="false">
      <c r="A43" s="12" t="s">
        <v>47</v>
      </c>
      <c r="B43" s="13" t="n">
        <f aca="false">SUMIFS(matriz!$B$36:$P$36,matriz!$B$1:$P$1,$B$5)</f>
        <v>1</v>
      </c>
      <c r="C43" s="13" t="n">
        <f aca="false">COUNTIFS(matriz!$B$36:$P$36,"&gt;0",matriz!$B$1:$P$1,$B$5)</f>
        <v>1</v>
      </c>
      <c r="D43" s="14" t="n">
        <f aca="false">SUMIFS(arvores!$G$2:$G$673,arvores!$D$2:$D$673,A43,arvores!$A$2:$A$673,$B$5)</f>
        <v>0.0066924653570142</v>
      </c>
      <c r="E43" s="15" t="n">
        <f aca="false">B43/$B$7</f>
        <v>3.33333333333333</v>
      </c>
      <c r="F43" s="16" t="n">
        <f aca="false">100*B43/$B$52</f>
        <v>0.148809523809524</v>
      </c>
      <c r="G43" s="16" t="n">
        <f aca="false">100*C43/$B$6</f>
        <v>6.66666666666667</v>
      </c>
      <c r="H43" s="16" t="n">
        <f aca="false">IF(G43=0,0,100*G43/$G$52)</f>
        <v>1.03092783505155</v>
      </c>
      <c r="I43" s="16" t="n">
        <f aca="false">D43/$B$7</f>
        <v>0.022308217856714</v>
      </c>
      <c r="J43" s="16" t="n">
        <f aca="false">100*D43/$D$52</f>
        <v>0.0687299124878614</v>
      </c>
      <c r="K43" s="16" t="n">
        <f aca="false">F43+H43+J43</f>
        <v>1.24846727134893</v>
      </c>
      <c r="L43" s="16" t="n">
        <f aca="false">K43/3</f>
        <v>0.416155757116311</v>
      </c>
      <c r="M43" s="16" t="n">
        <f aca="false">F43+J43</f>
        <v>0.217539436297385</v>
      </c>
      <c r="N43" s="16" t="n">
        <f aca="false">M43/2</f>
        <v>0.108769718148693</v>
      </c>
      <c r="O43" s="16" t="n">
        <f aca="false">IF(B43=0,"",RANK(K43,$K$10:$K$51))</f>
        <v>34</v>
      </c>
    </row>
    <row r="44" customFormat="false" ht="15" hidden="false" customHeight="false" outlineLevel="0" collapsed="false">
      <c r="A44" s="12" t="s">
        <v>55</v>
      </c>
      <c r="B44" s="13" t="n">
        <f aca="false">SUMIFS(matriz!$B$37:$P$37,matriz!$B$1:$P$1,$B$5)</f>
        <v>1</v>
      </c>
      <c r="C44" s="13" t="n">
        <f aca="false">COUNTIFS(matriz!$B$37:$P$37,"&gt;0",matriz!$B$1:$P$1,$B$5)</f>
        <v>1</v>
      </c>
      <c r="D44" s="14" t="n">
        <f aca="false">SUMIFS(arvores!$G$2:$G$673,arvores!$D$2:$D$673,A44,arvores!$A$2:$A$673,$B$5)</f>
        <v>0.00580119767569958</v>
      </c>
      <c r="E44" s="15" t="n">
        <f aca="false">B44/$B$7</f>
        <v>3.33333333333333</v>
      </c>
      <c r="F44" s="16" t="n">
        <f aca="false">100*B44/$B$52</f>
        <v>0.148809523809524</v>
      </c>
      <c r="G44" s="16" t="n">
        <f aca="false">100*C44/$B$6</f>
        <v>6.66666666666667</v>
      </c>
      <c r="H44" s="16" t="n">
        <f aca="false">IF(G44=0,0,100*G44/$G$52)</f>
        <v>1.03092783505155</v>
      </c>
      <c r="I44" s="16" t="n">
        <f aca="false">D44/$B$7</f>
        <v>0.0193373255856653</v>
      </c>
      <c r="J44" s="16" t="n">
        <f aca="false">100*D44/$D$52</f>
        <v>0.0595768206939964</v>
      </c>
      <c r="K44" s="16" t="n">
        <f aca="false">F44+H44+J44</f>
        <v>1.23931417955507</v>
      </c>
      <c r="L44" s="16" t="n">
        <f aca="false">K44/3</f>
        <v>0.413104726518356</v>
      </c>
      <c r="M44" s="16" t="n">
        <f aca="false">F44+J44</f>
        <v>0.20838634450352</v>
      </c>
      <c r="N44" s="16" t="n">
        <f aca="false">M44/2</f>
        <v>0.10419317225176</v>
      </c>
      <c r="O44" s="16" t="n">
        <f aca="false">IF(B44=0,"",RANK(K44,$K$10:$K$51))</f>
        <v>35</v>
      </c>
    </row>
    <row r="45" customFormat="false" ht="15" hidden="false" customHeight="false" outlineLevel="0" collapsed="false">
      <c r="A45" s="12" t="s">
        <v>49</v>
      </c>
      <c r="B45" s="13" t="n">
        <f aca="false">SUMIFS(matriz!$B$38:$P$38,matriz!$B$1:$P$1,$B$5)</f>
        <v>1</v>
      </c>
      <c r="C45" s="13" t="n">
        <f aca="false">COUNTIFS(matriz!$B$38:$P$38,"&gt;0",matriz!$B$1:$P$1,$B$5)</f>
        <v>1</v>
      </c>
      <c r="D45" s="14" t="n">
        <f aca="false">SUMIFS(arvores!$G$2:$G$673,arvores!$D$2:$D$673,A45,arvores!$A$2:$A$673,$B$5)</f>
        <v>0.00497359197162173</v>
      </c>
      <c r="E45" s="15" t="n">
        <f aca="false">B45/$B$7</f>
        <v>3.33333333333333</v>
      </c>
      <c r="F45" s="16" t="n">
        <f aca="false">100*B45/$B$52</f>
        <v>0.148809523809524</v>
      </c>
      <c r="G45" s="16" t="n">
        <f aca="false">100*C45/$B$6</f>
        <v>6.66666666666667</v>
      </c>
      <c r="H45" s="16" t="n">
        <f aca="false">IF(G45=0,0,100*G45/$G$52)</f>
        <v>1.03092783505155</v>
      </c>
      <c r="I45" s="16" t="n">
        <f aca="false">D45/$B$7</f>
        <v>0.0165786399054058</v>
      </c>
      <c r="J45" s="16" t="n">
        <f aca="false">100*D45/$D$52</f>
        <v>0.0510775211711217</v>
      </c>
      <c r="K45" s="16" t="n">
        <f aca="false">F45+H45+J45</f>
        <v>1.23081488003219</v>
      </c>
      <c r="L45" s="16" t="n">
        <f aca="false">K45/3</f>
        <v>0.410271626677397</v>
      </c>
      <c r="M45" s="16" t="n">
        <f aca="false">F45+J45</f>
        <v>0.199887044980646</v>
      </c>
      <c r="N45" s="16" t="n">
        <f aca="false">M45/2</f>
        <v>0.0999435224903228</v>
      </c>
      <c r="O45" s="16" t="n">
        <f aca="false">IF(B45=0,"",RANK(K45,$K$10:$K$51))</f>
        <v>36</v>
      </c>
    </row>
    <row r="46" customFormat="false" ht="15" hidden="false" customHeight="false" outlineLevel="0" collapsed="false">
      <c r="A46" s="12" t="s">
        <v>73</v>
      </c>
      <c r="B46" s="13" t="n">
        <f aca="false">SUMIFS(matriz!$B$39:$P$39,matriz!$B$1:$P$1,$B$5)</f>
        <v>1</v>
      </c>
      <c r="C46" s="13" t="n">
        <f aca="false">COUNTIFS(matriz!$B$39:$P$39,"&gt;0",matriz!$B$1:$P$1,$B$5)</f>
        <v>1</v>
      </c>
      <c r="D46" s="14" t="n">
        <f aca="false">SUMIFS(arvores!$G$2:$G$673,arvores!$D$2:$D$673,A46,arvores!$A$2:$A$673,$B$5)</f>
        <v>0.00479056378706605</v>
      </c>
      <c r="E46" s="15" t="n">
        <f aca="false">B46/$B$7</f>
        <v>3.33333333333333</v>
      </c>
      <c r="F46" s="16" t="n">
        <f aca="false">100*B46/$B$52</f>
        <v>0.148809523809524</v>
      </c>
      <c r="G46" s="16" t="n">
        <f aca="false">100*C46/$B$6</f>
        <v>6.66666666666667</v>
      </c>
      <c r="H46" s="16" t="n">
        <f aca="false">IF(G46=0,0,100*G46/$G$52)</f>
        <v>1.03092783505155</v>
      </c>
      <c r="I46" s="16" t="n">
        <f aca="false">D46/$B$7</f>
        <v>0.0159685459568868</v>
      </c>
      <c r="J46" s="16" t="n">
        <f aca="false">100*D46/$D$52</f>
        <v>0.0491978683920245</v>
      </c>
      <c r="K46" s="16" t="n">
        <f aca="false">F46+H46+J46</f>
        <v>1.22893522725309</v>
      </c>
      <c r="L46" s="16" t="n">
        <f aca="false">K46/3</f>
        <v>0.409645075751032</v>
      </c>
      <c r="M46" s="16" t="n">
        <f aca="false">F46+J46</f>
        <v>0.198007392201548</v>
      </c>
      <c r="N46" s="16" t="n">
        <f aca="false">M46/2</f>
        <v>0.0990036961007741</v>
      </c>
      <c r="O46" s="16" t="n">
        <f aca="false">IF(B46=0,"",RANK(K46,$K$10:$K$51))</f>
        <v>37</v>
      </c>
    </row>
    <row r="47" customFormat="false" ht="15" hidden="false" customHeight="false" outlineLevel="0" collapsed="false">
      <c r="A47" s="12" t="s">
        <v>64</v>
      </c>
      <c r="B47" s="13" t="n">
        <f aca="false">SUMIFS(matriz!$B$40:$P$40,matriz!$B$1:$P$1,$B$5)</f>
        <v>1</v>
      </c>
      <c r="C47" s="13" t="n">
        <f aca="false">COUNTIFS(matriz!$B$40:$P$40,"&gt;0",matriz!$B$1:$P$1,$B$5)</f>
        <v>1</v>
      </c>
      <c r="D47" s="14" t="n">
        <f aca="false">SUMIFS(arvores!$G$2:$G$673,arvores!$D$2:$D$673,A47,arvores!$A$2:$A$673,$B$5)</f>
        <v>0.00420964824478063</v>
      </c>
      <c r="E47" s="15" t="n">
        <f aca="false">B47/$B$7</f>
        <v>3.33333333333333</v>
      </c>
      <c r="F47" s="16" t="n">
        <f aca="false">100*B47/$B$52</f>
        <v>0.148809523809524</v>
      </c>
      <c r="G47" s="16" t="n">
        <f aca="false">100*C47/$B$6</f>
        <v>6.66666666666667</v>
      </c>
      <c r="H47" s="16" t="n">
        <f aca="false">IF(G47=0,0,100*G47/$G$52)</f>
        <v>1.03092783505155</v>
      </c>
      <c r="I47" s="16" t="n">
        <f aca="false">D47/$B$7</f>
        <v>0.0140321608159354</v>
      </c>
      <c r="J47" s="16" t="n">
        <f aca="false">100*D47/$D$52</f>
        <v>0.0432320139192374</v>
      </c>
      <c r="K47" s="16" t="n">
        <f aca="false">F47+H47+J47</f>
        <v>1.22296937278031</v>
      </c>
      <c r="L47" s="16" t="n">
        <f aca="false">K47/3</f>
        <v>0.407656457593436</v>
      </c>
      <c r="M47" s="16" t="n">
        <f aca="false">F47+J47</f>
        <v>0.192041537728761</v>
      </c>
      <c r="N47" s="16" t="n">
        <f aca="false">M47/2</f>
        <v>0.0960207688643806</v>
      </c>
      <c r="O47" s="16" t="n">
        <f aca="false">IF(B47=0,"",RANK(K47,$K$10:$K$51))</f>
        <v>38</v>
      </c>
    </row>
    <row r="48" customFormat="false" ht="15" hidden="false" customHeight="false" outlineLevel="0" collapsed="false">
      <c r="A48" s="12" t="s">
        <v>43</v>
      </c>
      <c r="B48" s="13" t="n">
        <f aca="false">SUMIFS(matriz!$B$41:$P$41,matriz!$B$1:$P$1,$B$5)</f>
        <v>1</v>
      </c>
      <c r="C48" s="13" t="n">
        <f aca="false">COUNTIFS(matriz!$B$41:$P$41,"&gt;0",matriz!$B$1:$P$1,$B$5)</f>
        <v>1</v>
      </c>
      <c r="D48" s="14" t="n">
        <f aca="false">SUMIFS(arvores!$G$2:$G$673,arvores!$D$2:$D$673,A48,arvores!$A$2:$A$673,$B$5)</f>
        <v>0.00420964824478063</v>
      </c>
      <c r="E48" s="15" t="n">
        <f aca="false">B48/$B$7</f>
        <v>3.33333333333333</v>
      </c>
      <c r="F48" s="16" t="n">
        <f aca="false">100*B48/$B$52</f>
        <v>0.148809523809524</v>
      </c>
      <c r="G48" s="16" t="n">
        <f aca="false">100*C48/$B$6</f>
        <v>6.66666666666667</v>
      </c>
      <c r="H48" s="16" t="n">
        <f aca="false">IF(G48=0,0,100*G48/$G$52)</f>
        <v>1.03092783505155</v>
      </c>
      <c r="I48" s="16" t="n">
        <f aca="false">D48/$B$7</f>
        <v>0.0140321608159354</v>
      </c>
      <c r="J48" s="16" t="n">
        <f aca="false">100*D48/$D$52</f>
        <v>0.0432320139192374</v>
      </c>
      <c r="K48" s="16" t="n">
        <f aca="false">F48+H48+J48</f>
        <v>1.22296937278031</v>
      </c>
      <c r="L48" s="16" t="n">
        <f aca="false">K48/3</f>
        <v>0.407656457593436</v>
      </c>
      <c r="M48" s="16" t="n">
        <f aca="false">F48+J48</f>
        <v>0.192041537728761</v>
      </c>
      <c r="N48" s="16" t="n">
        <f aca="false">M48/2</f>
        <v>0.0960207688643806</v>
      </c>
      <c r="O48" s="16" t="n">
        <f aca="false">IF(B48=0,"",RANK(K48,$K$10:$K$51))</f>
        <v>38</v>
      </c>
    </row>
    <row r="49" customFormat="false" ht="15" hidden="false" customHeight="false" outlineLevel="0" collapsed="false">
      <c r="A49" s="12" t="s">
        <v>77</v>
      </c>
      <c r="B49" s="13" t="n">
        <f aca="false">SUMIFS(matriz!$B$42:$P$42,matriz!$B$1:$P$1,$B$5)</f>
        <v>1</v>
      </c>
      <c r="C49" s="13" t="n">
        <f aca="false">COUNTIFS(matriz!$B$42:$P$42,"&gt;0",matriz!$B$1:$P$1,$B$5)</f>
        <v>1</v>
      </c>
      <c r="D49" s="14" t="n">
        <f aca="false">SUMIFS(arvores!$G$2:$G$673,arvores!$D$2:$D$673,A49,arvores!$A$2:$A$673,$B$5)</f>
        <v>0.00229978892767789</v>
      </c>
      <c r="E49" s="15" t="n">
        <f aca="false">B49/$B$7</f>
        <v>3.33333333333333</v>
      </c>
      <c r="F49" s="16" t="n">
        <f aca="false">100*B49/$B$52</f>
        <v>0.148809523809524</v>
      </c>
      <c r="G49" s="16" t="n">
        <f aca="false">100*C49/$B$6</f>
        <v>6.66666666666667</v>
      </c>
      <c r="H49" s="16" t="n">
        <f aca="false">IF(G49=0,0,100*G49/$G$52)</f>
        <v>1.03092783505155</v>
      </c>
      <c r="I49" s="16" t="n">
        <f aca="false">D49/$B$7</f>
        <v>0.00766596309225963</v>
      </c>
      <c r="J49" s="16" t="n">
        <f aca="false">100*D49/$D$52</f>
        <v>0.0236182457895267</v>
      </c>
      <c r="K49" s="16" t="n">
        <f aca="false">F49+H49+J49</f>
        <v>1.2033556046506</v>
      </c>
      <c r="L49" s="16" t="n">
        <f aca="false">K49/3</f>
        <v>0.401118534883532</v>
      </c>
      <c r="M49" s="16" t="n">
        <f aca="false">F49+J49</f>
        <v>0.172427769599051</v>
      </c>
      <c r="N49" s="16" t="n">
        <f aca="false">M49/2</f>
        <v>0.0862138847995253</v>
      </c>
      <c r="O49" s="16" t="n">
        <f aca="false">IF(B49=0,"",RANK(K49,$K$10:$K$51))</f>
        <v>40</v>
      </c>
    </row>
    <row r="50" customFormat="false" ht="15" hidden="false" customHeight="false" outlineLevel="0" collapsed="false">
      <c r="A50" s="12" t="s">
        <v>80</v>
      </c>
      <c r="B50" s="13" t="n">
        <f aca="false">SUMIFS(matriz!$B$43:$P$43,matriz!$B$1:$P$1,$B$5)</f>
        <v>1</v>
      </c>
      <c r="C50" s="13" t="n">
        <f aca="false">COUNTIFS(matriz!$B$43:$P$43,"&gt;0",matriz!$B$1:$P$1,$B$5)</f>
        <v>1</v>
      </c>
      <c r="D50" s="14" t="n">
        <f aca="false">SUMIFS(arvores!$G$2:$G$673,arvores!$D$2:$D$673,A50,arvores!$A$2:$A$673,$B$5)</f>
        <v>0.00203718327157626</v>
      </c>
      <c r="E50" s="15" t="n">
        <f aca="false">B50/$B$7</f>
        <v>3.33333333333333</v>
      </c>
      <c r="F50" s="16" t="n">
        <f aca="false">100*B50/$B$52</f>
        <v>0.148809523809524</v>
      </c>
      <c r="G50" s="16" t="n">
        <f aca="false">100*C50/$B$6</f>
        <v>6.66666666666667</v>
      </c>
      <c r="H50" s="16" t="n">
        <f aca="false">IF(G50=0,0,100*G50/$G$52)</f>
        <v>1.03092783505155</v>
      </c>
      <c r="I50" s="16" t="n">
        <f aca="false">D50/$B$7</f>
        <v>0.0067906109052542</v>
      </c>
      <c r="J50" s="16" t="n">
        <f aca="false">100*D50/$D$52</f>
        <v>0.0209213526716915</v>
      </c>
      <c r="K50" s="16" t="n">
        <f aca="false">F50+H50+J50</f>
        <v>1.20065871153276</v>
      </c>
      <c r="L50" s="16" t="n">
        <f aca="false">K50/3</f>
        <v>0.400219570510921</v>
      </c>
      <c r="M50" s="16" t="n">
        <f aca="false">F50+J50</f>
        <v>0.169730876481215</v>
      </c>
      <c r="N50" s="16" t="n">
        <f aca="false">M50/2</f>
        <v>0.0848654382406076</v>
      </c>
      <c r="O50" s="16" t="n">
        <f aca="false">IF(B50=0,"",RANK(K50,$K$10:$K$51))</f>
        <v>41</v>
      </c>
    </row>
    <row r="51" customFormat="false" ht="15" hidden="false" customHeight="false" outlineLevel="0" collapsed="false">
      <c r="A51" s="12" t="s">
        <v>79</v>
      </c>
      <c r="B51" s="13" t="n">
        <f aca="false">SUMIFS(matriz!$B$44:$P$44,matriz!$B$1:$P$1,$B$5)</f>
        <v>1</v>
      </c>
      <c r="C51" s="13" t="n">
        <f aca="false">COUNTIFS(matriz!$B$44:$P$44,"&gt;0",matriz!$B$1:$P$1,$B$5)</f>
        <v>1</v>
      </c>
      <c r="D51" s="14" t="n">
        <f aca="false">SUMIFS(arvores!$G$2:$G$673,arvores!$D$2:$D$673,A51,arvores!$A$2:$A$673,$B$5)</f>
        <v>0.00203718327157626</v>
      </c>
      <c r="E51" s="15" t="n">
        <f aca="false">B51/$B$7</f>
        <v>3.33333333333333</v>
      </c>
      <c r="F51" s="16" t="n">
        <f aca="false">100*B51/$B$52</f>
        <v>0.148809523809524</v>
      </c>
      <c r="G51" s="16" t="n">
        <f aca="false">100*C51/$B$6</f>
        <v>6.66666666666667</v>
      </c>
      <c r="H51" s="16" t="n">
        <f aca="false">IF(G51=0,0,100*G51/$G$52)</f>
        <v>1.03092783505155</v>
      </c>
      <c r="I51" s="16" t="n">
        <f aca="false">D51/$B$7</f>
        <v>0.0067906109052542</v>
      </c>
      <c r="J51" s="16" t="n">
        <f aca="false">100*D51/$D$52</f>
        <v>0.0209213526716915</v>
      </c>
      <c r="K51" s="16" t="n">
        <f aca="false">F51+H51+J51</f>
        <v>1.20065871153276</v>
      </c>
      <c r="L51" s="16" t="n">
        <f aca="false">K51/3</f>
        <v>0.400219570510921</v>
      </c>
      <c r="M51" s="16" t="n">
        <f aca="false">F51+J51</f>
        <v>0.169730876481215</v>
      </c>
      <c r="N51" s="16" t="n">
        <f aca="false">M51/2</f>
        <v>0.0848654382406076</v>
      </c>
      <c r="O51" s="16" t="n">
        <f aca="false">IF(B51=0,"",RANK(K51,$K$10:$K$51))</f>
        <v>41</v>
      </c>
    </row>
    <row r="52" customFormat="false" ht="15" hidden="false" customHeight="false" outlineLevel="0" collapsed="false">
      <c r="A52" s="4" t="s">
        <v>803</v>
      </c>
      <c r="B52" s="17" t="n">
        <f aca="false">SUM(B10:B51)</f>
        <v>672</v>
      </c>
      <c r="C52" s="3"/>
      <c r="D52" s="18" t="n">
        <f aca="false">SUM(D10:D51)</f>
        <v>9.73734014021358</v>
      </c>
      <c r="E52" s="18" t="n">
        <f aca="false">SUM(E10:E51)</f>
        <v>2240</v>
      </c>
      <c r="F52" s="18" t="n">
        <f aca="false">SUM(F10:F51)</f>
        <v>100</v>
      </c>
      <c r="G52" s="18" t="n">
        <f aca="false">SUM(G10:G51)</f>
        <v>646.666666666667</v>
      </c>
      <c r="H52" s="18" t="n">
        <f aca="false">SUM(H10:H51)</f>
        <v>100</v>
      </c>
      <c r="I52" s="18" t="n">
        <f aca="false">SUM(I10:I51)</f>
        <v>32.4578004673786</v>
      </c>
      <c r="J52" s="18" t="n">
        <f aca="false">SUM(J10:J51)</f>
        <v>100</v>
      </c>
      <c r="K52" s="18" t="n">
        <f aca="false">SUM(K10:K51)</f>
        <v>300</v>
      </c>
      <c r="L52" s="18" t="n">
        <f aca="false">SUM(L10:L51)</f>
        <v>100</v>
      </c>
      <c r="M52" s="18" t="n">
        <f aca="false">SUM(M10:M51)</f>
        <v>200</v>
      </c>
      <c r="N52" s="18" t="n">
        <f aca="false">SUM(N10:N51)</f>
        <v>100</v>
      </c>
      <c r="O52" s="3"/>
    </row>
    <row r="53" customFormat="false" ht="15" hidden="false" customHeight="false" outlineLevel="0" collapsed="false">
      <c r="A53" s="4" t="s">
        <v>804</v>
      </c>
      <c r="B53" s="4" t="n">
        <f aca="false">COUNTIF(B10:B51,"&gt;0")</f>
        <v>42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customFormat="false" ht="15" hidden="false" customHeight="false" outlineLevel="0" collapsed="false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customFormat="false" ht="15" hidden="false" customHeight="false" outlineLevel="0" collapsed="false">
      <c r="A55" s="3" t="s">
        <v>805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</sheetData>
  <dataValidations count="1">
    <dataValidation allowBlank="false" errorStyle="stop" operator="between" showDropDown="false" showErrorMessage="false" showInputMessage="false" sqref="B3" type="list">
      <formula1>"todos,chauas,jureia,retiro"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8"/>
    <col collapsed="false" customWidth="true" hidden="false" outlineLevel="0" max="3" min="3" style="0" width="12"/>
    <col collapsed="false" customWidth="true" hidden="false" outlineLevel="0" max="4" min="4" style="0" width="55"/>
  </cols>
  <sheetData>
    <row r="1" customFormat="false" ht="17.35" hidden="false" customHeight="false" outlineLevel="0" collapsed="false">
      <c r="A1" s="1" t="s">
        <v>806</v>
      </c>
      <c r="B1" s="3"/>
      <c r="C1" s="3"/>
      <c r="D1" s="3"/>
    </row>
    <row r="2" customFormat="false" ht="15" hidden="false" customHeight="false" outlineLevel="0" collapsed="false">
      <c r="A2" s="3"/>
      <c r="B2" s="3"/>
      <c r="C2" s="3"/>
      <c r="D2" s="3"/>
    </row>
    <row r="3" customFormat="false" ht="15" hidden="false" customHeight="false" outlineLevel="0" collapsed="false">
      <c r="A3" s="3" t="s">
        <v>788</v>
      </c>
      <c r="B3" s="9" t="s">
        <v>37</v>
      </c>
      <c r="C3" s="3"/>
      <c r="D3" s="3"/>
    </row>
    <row r="4" customFormat="false" ht="15" hidden="false" customHeight="false" outlineLevel="0" collapsed="false">
      <c r="A4" s="3" t="s">
        <v>776</v>
      </c>
      <c r="B4" s="3" t="str">
        <f aca="false">parametros!B3</f>
        <v>todos</v>
      </c>
      <c r="C4" s="3" t="s">
        <v>807</v>
      </c>
      <c r="D4" s="3"/>
    </row>
    <row r="5" customFormat="false" ht="15" hidden="false" customHeight="false" outlineLevel="0" collapsed="false">
      <c r="A5" s="3"/>
      <c r="B5" s="3"/>
      <c r="C5" s="3"/>
      <c r="D5" s="3"/>
    </row>
    <row r="6" customFormat="false" ht="26.85" hidden="false" customHeight="false" outlineLevel="0" collapsed="false">
      <c r="A6" s="5" t="s">
        <v>808</v>
      </c>
      <c r="B6" s="5" t="s">
        <v>809</v>
      </c>
      <c r="C6" s="5" t="s">
        <v>810</v>
      </c>
      <c r="D6" s="5" t="s">
        <v>811</v>
      </c>
    </row>
    <row r="7" customFormat="false" ht="15" hidden="false" customHeight="false" outlineLevel="0" collapsed="false">
      <c r="A7" s="2" t="s">
        <v>812</v>
      </c>
      <c r="B7" s="4" t="s">
        <v>813</v>
      </c>
      <c r="C7" s="16" t="n">
        <f aca="false">INDEX(parametros!$B$10:$B$51,MATCH($B$3,parametros!$A$10:$A$51,0))</f>
        <v>410</v>
      </c>
      <c r="D7" s="2" t="s">
        <v>814</v>
      </c>
    </row>
    <row r="8" customFormat="false" ht="15" hidden="false" customHeight="false" outlineLevel="0" collapsed="false">
      <c r="A8" s="2" t="s">
        <v>815</v>
      </c>
      <c r="B8" s="4" t="s">
        <v>816</v>
      </c>
      <c r="C8" s="16" t="n">
        <f aca="false">parametros!B52</f>
        <v>672</v>
      </c>
      <c r="D8" s="2" t="s">
        <v>817</v>
      </c>
    </row>
    <row r="9" customFormat="false" ht="15" hidden="false" customHeight="false" outlineLevel="0" collapsed="false">
      <c r="A9" s="2" t="s">
        <v>818</v>
      </c>
      <c r="B9" s="4" t="s">
        <v>819</v>
      </c>
      <c r="C9" s="16" t="n">
        <f aca="false">parametros!B7</f>
        <v>0.3</v>
      </c>
      <c r="D9" s="2" t="s">
        <v>820</v>
      </c>
    </row>
    <row r="10" customFormat="false" ht="15" hidden="false" customHeight="false" outlineLevel="0" collapsed="false">
      <c r="A10" s="2" t="s">
        <v>821</v>
      </c>
      <c r="B10" s="4" t="s">
        <v>822</v>
      </c>
      <c r="C10" s="16" t="n">
        <f aca="false">INDEX(parametros!$C$10:$C$51,MATCH($B$3,parametros!$A$10:$A$51,0))</f>
        <v>15</v>
      </c>
      <c r="D10" s="2" t="s">
        <v>823</v>
      </c>
    </row>
    <row r="11" customFormat="false" ht="15" hidden="false" customHeight="false" outlineLevel="0" collapsed="false">
      <c r="A11" s="2" t="s">
        <v>824</v>
      </c>
      <c r="B11" s="4" t="s">
        <v>825</v>
      </c>
      <c r="C11" s="16" t="n">
        <f aca="false">parametros!B6</f>
        <v>15</v>
      </c>
      <c r="D11" s="2" t="s">
        <v>826</v>
      </c>
    </row>
    <row r="12" customFormat="false" ht="15" hidden="false" customHeight="false" outlineLevel="0" collapsed="false">
      <c r="A12" s="2" t="s">
        <v>827</v>
      </c>
      <c r="B12" s="4" t="s">
        <v>828</v>
      </c>
      <c r="C12" s="16" t="n">
        <f aca="false">parametros!G52</f>
        <v>646.666666666667</v>
      </c>
      <c r="D12" s="2" t="s">
        <v>829</v>
      </c>
    </row>
    <row r="13" customFormat="false" ht="15" hidden="false" customHeight="false" outlineLevel="0" collapsed="false">
      <c r="A13" s="2" t="s">
        <v>830</v>
      </c>
      <c r="B13" s="4" t="s">
        <v>831</v>
      </c>
      <c r="C13" s="14" t="n">
        <f aca="false">INDEX(parametros!$D$10:$D$51,MATCH($B$3,parametros!$A$10:$A$51,0))</f>
        <v>6.45185690348466</v>
      </c>
      <c r="D13" s="2" t="s">
        <v>832</v>
      </c>
    </row>
    <row r="14" customFormat="false" ht="15" hidden="false" customHeight="false" outlineLevel="0" collapsed="false">
      <c r="A14" s="2" t="s">
        <v>833</v>
      </c>
      <c r="B14" s="4" t="s">
        <v>834</v>
      </c>
      <c r="C14" s="14" t="n">
        <f aca="false">parametros!D52</f>
        <v>9.73734014021358</v>
      </c>
      <c r="D14" s="2" t="s">
        <v>835</v>
      </c>
    </row>
    <row r="15" customFormat="false" ht="15" hidden="false" customHeight="false" outlineLevel="0" collapsed="false">
      <c r="A15" s="2" t="s">
        <v>836</v>
      </c>
      <c r="B15" s="4" t="s">
        <v>837</v>
      </c>
      <c r="C15" s="16" t="n">
        <f aca="false">C7/C9</f>
        <v>1366.66666666667</v>
      </c>
      <c r="D15" s="2" t="s">
        <v>838</v>
      </c>
    </row>
    <row r="16" customFormat="false" ht="15" hidden="false" customHeight="false" outlineLevel="0" collapsed="false">
      <c r="A16" s="2" t="s">
        <v>839</v>
      </c>
      <c r="B16" s="4" t="s">
        <v>840</v>
      </c>
      <c r="C16" s="16" t="n">
        <f aca="false">100*C7/C8</f>
        <v>61.0119047619048</v>
      </c>
      <c r="D16" s="2" t="s">
        <v>841</v>
      </c>
    </row>
    <row r="17" customFormat="false" ht="15" hidden="false" customHeight="false" outlineLevel="0" collapsed="false">
      <c r="A17" s="2" t="s">
        <v>842</v>
      </c>
      <c r="B17" s="4" t="s">
        <v>843</v>
      </c>
      <c r="C17" s="16" t="n">
        <f aca="false">100*C10/C11</f>
        <v>100</v>
      </c>
      <c r="D17" s="2" t="s">
        <v>844</v>
      </c>
    </row>
    <row r="18" customFormat="false" ht="15" hidden="false" customHeight="false" outlineLevel="0" collapsed="false">
      <c r="A18" s="2" t="s">
        <v>845</v>
      </c>
      <c r="B18" s="4" t="s">
        <v>846</v>
      </c>
      <c r="C18" s="16" t="n">
        <f aca="false">100*C17/C12</f>
        <v>15.4639175257732</v>
      </c>
      <c r="D18" s="2" t="s">
        <v>847</v>
      </c>
    </row>
    <row r="19" customFormat="false" ht="15" hidden="false" customHeight="false" outlineLevel="0" collapsed="false">
      <c r="A19" s="2" t="s">
        <v>848</v>
      </c>
      <c r="B19" s="4" t="s">
        <v>849</v>
      </c>
      <c r="C19" s="16" t="n">
        <f aca="false">C13/C9</f>
        <v>21.5061896782822</v>
      </c>
      <c r="D19" s="2" t="s">
        <v>850</v>
      </c>
    </row>
    <row r="20" customFormat="false" ht="15" hidden="false" customHeight="false" outlineLevel="0" collapsed="false">
      <c r="A20" s="2" t="s">
        <v>851</v>
      </c>
      <c r="B20" s="4" t="s">
        <v>852</v>
      </c>
      <c r="C20" s="16" t="n">
        <f aca="false">100*C13/C14</f>
        <v>66.2589250306618</v>
      </c>
      <c r="D20" s="2" t="s">
        <v>853</v>
      </c>
    </row>
    <row r="21" customFormat="false" ht="15" hidden="false" customHeight="false" outlineLevel="0" collapsed="false">
      <c r="A21" s="2" t="s">
        <v>854</v>
      </c>
      <c r="B21" s="4" t="s">
        <v>798</v>
      </c>
      <c r="C21" s="16" t="n">
        <f aca="false">C16+C18+C20</f>
        <v>142.73474731834</v>
      </c>
      <c r="D21" s="2" t="s">
        <v>855</v>
      </c>
    </row>
    <row r="22" customFormat="false" ht="15" hidden="false" customHeight="false" outlineLevel="0" collapsed="false">
      <c r="A22" s="2" t="s">
        <v>856</v>
      </c>
      <c r="B22" s="4" t="s">
        <v>857</v>
      </c>
      <c r="C22" s="16" t="n">
        <f aca="false">C21/3</f>
        <v>47.5782491061133</v>
      </c>
      <c r="D22" s="2" t="s">
        <v>858</v>
      </c>
    </row>
    <row r="23" customFormat="false" ht="15" hidden="false" customHeight="false" outlineLevel="0" collapsed="false">
      <c r="A23" s="2" t="s">
        <v>859</v>
      </c>
      <c r="B23" s="4" t="s">
        <v>800</v>
      </c>
      <c r="C23" s="16" t="n">
        <f aca="false">C16+C20</f>
        <v>127.270829792567</v>
      </c>
      <c r="D23" s="2" t="s">
        <v>860</v>
      </c>
    </row>
    <row r="24" customFormat="false" ht="15" hidden="false" customHeight="false" outlineLevel="0" collapsed="false">
      <c r="A24" s="2" t="s">
        <v>861</v>
      </c>
      <c r="B24" s="4" t="s">
        <v>862</v>
      </c>
      <c r="C24" s="16" t="n">
        <f aca="false">C23/2</f>
        <v>63.6354148962833</v>
      </c>
      <c r="D24" s="2" t="s">
        <v>863</v>
      </c>
    </row>
  </sheetData>
  <dataValidations count="1">
    <dataValidation allowBlank="false" errorStyle="stop" operator="between" showDropDown="false" showErrorMessage="false" showInputMessage="false" sqref="B3" type="list">
      <formula1>parametros!$A$10:$A$51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10" min="2" style="0" width="11"/>
  </cols>
  <sheetData>
    <row r="1" customFormat="false" ht="17.35" hidden="false" customHeight="false" outlineLevel="0" collapsed="false">
      <c r="A1" s="1" t="s">
        <v>864</v>
      </c>
      <c r="B1" s="3"/>
      <c r="C1" s="3"/>
      <c r="D1" s="3"/>
      <c r="E1" s="3"/>
      <c r="F1" s="3"/>
      <c r="G1" s="3"/>
      <c r="H1" s="3"/>
      <c r="I1" s="3"/>
      <c r="J1" s="3"/>
    </row>
    <row r="2" customFormat="false" ht="1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</row>
    <row r="3" customFormat="false" ht="15" hidden="false" customHeight="false" outlineLevel="0" collapsed="false">
      <c r="A3" s="3" t="s">
        <v>865</v>
      </c>
      <c r="B3" s="9" t="n">
        <v>5</v>
      </c>
      <c r="C3" s="3"/>
      <c r="D3" s="3"/>
      <c r="E3" s="3"/>
      <c r="F3" s="3"/>
      <c r="G3" s="3"/>
      <c r="H3" s="3"/>
      <c r="I3" s="3"/>
      <c r="J3" s="3"/>
    </row>
    <row r="4" customFormat="false" ht="15" hidden="false" customHeight="fals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</row>
    <row r="5" customFormat="false" ht="26.85" hidden="false" customHeight="false" outlineLevel="0" collapsed="false">
      <c r="A5" s="5" t="s">
        <v>866</v>
      </c>
      <c r="B5" s="5" t="s">
        <v>867</v>
      </c>
      <c r="C5" s="5" t="s">
        <v>868</v>
      </c>
      <c r="D5" s="5" t="s">
        <v>869</v>
      </c>
      <c r="E5" s="5" t="s">
        <v>32</v>
      </c>
      <c r="F5" s="5" t="s">
        <v>50</v>
      </c>
      <c r="G5" s="5" t="s">
        <v>70</v>
      </c>
      <c r="H5" s="5" t="s">
        <v>803</v>
      </c>
      <c r="I5" s="5" t="s">
        <v>870</v>
      </c>
      <c r="J5" s="5" t="s">
        <v>871</v>
      </c>
    </row>
    <row r="6" customFormat="false" ht="15" hidden="false" customHeight="false" outlineLevel="0" collapsed="false">
      <c r="A6" s="3" t="str">
        <f aca="false">B6&amp;"–"&amp;C6</f>
        <v>0–5</v>
      </c>
      <c r="B6" s="3" t="n">
        <f aca="false">0*$B$3</f>
        <v>0</v>
      </c>
      <c r="C6" s="3" t="n">
        <f aca="false">B6+$B$3</f>
        <v>5</v>
      </c>
      <c r="D6" s="3" t="n">
        <f aca="false">(B6+C6)/2</f>
        <v>2.5</v>
      </c>
      <c r="E6" s="3" t="n">
        <f aca="false">COUNTIFS(arvores!$A$2:$A$673,"chauas",arvores!$H$2:$H$673,"&gt;"&amp;$B6,arvores!$H$2:$H$673,"&lt;="&amp;$C6)</f>
        <v>5</v>
      </c>
      <c r="F6" s="3" t="n">
        <f aca="false">COUNTIFS(arvores!$A$2:$A$673,"jureia",arvores!$H$2:$H$673,"&gt;"&amp;$B6,arvores!$H$2:$H$673,"&lt;="&amp;$C6)</f>
        <v>0</v>
      </c>
      <c r="G6" s="3" t="n">
        <f aca="false">COUNTIFS(arvores!$A$2:$A$673,"retiro",arvores!$H$2:$H$673,"&gt;"&amp;$B6,arvores!$H$2:$H$673,"&lt;="&amp;$C6)</f>
        <v>11</v>
      </c>
      <c r="H6" s="3" t="n">
        <f aca="false">SUM(E6:G6)</f>
        <v>16</v>
      </c>
      <c r="I6" s="19" t="n">
        <f aca="false">H6/0.3</f>
        <v>53.3333333333333</v>
      </c>
      <c r="J6" s="20" t="n">
        <f aca="false">IF(H7=0,"",H6/H7)</f>
        <v>0.0542372881355932</v>
      </c>
    </row>
    <row r="7" customFormat="false" ht="15" hidden="false" customHeight="false" outlineLevel="0" collapsed="false">
      <c r="A7" s="3" t="str">
        <f aca="false">B7&amp;"–"&amp;C7</f>
        <v>5–10</v>
      </c>
      <c r="B7" s="3" t="n">
        <f aca="false">1*$B$3</f>
        <v>5</v>
      </c>
      <c r="C7" s="3" t="n">
        <f aca="false">B7+$B$3</f>
        <v>10</v>
      </c>
      <c r="D7" s="3" t="n">
        <f aca="false">(B7+C7)/2</f>
        <v>7.5</v>
      </c>
      <c r="E7" s="3" t="n">
        <f aca="false">COUNTIFS(arvores!$A$2:$A$673,"chauas",arvores!$H$2:$H$673,"&gt;"&amp;$B7,arvores!$H$2:$H$673,"&lt;="&amp;$C7)</f>
        <v>127</v>
      </c>
      <c r="F7" s="3" t="n">
        <f aca="false">COUNTIFS(arvores!$A$2:$A$673,"jureia",arvores!$H$2:$H$673,"&gt;"&amp;$B7,arvores!$H$2:$H$673,"&lt;="&amp;$C7)</f>
        <v>59</v>
      </c>
      <c r="G7" s="3" t="n">
        <f aca="false">COUNTIFS(arvores!$A$2:$A$673,"retiro",arvores!$H$2:$H$673,"&gt;"&amp;$B7,arvores!$H$2:$H$673,"&lt;="&amp;$C7)</f>
        <v>109</v>
      </c>
      <c r="H7" s="3" t="n">
        <f aca="false">SUM(E7:G7)</f>
        <v>295</v>
      </c>
      <c r="I7" s="19" t="n">
        <f aca="false">H7/0.3</f>
        <v>983.333333333333</v>
      </c>
      <c r="J7" s="20" t="n">
        <f aca="false">IF(H8=0,"",H7/H8)</f>
        <v>1.41148325358852</v>
      </c>
    </row>
    <row r="8" customFormat="false" ht="15" hidden="false" customHeight="false" outlineLevel="0" collapsed="false">
      <c r="A8" s="3" t="str">
        <f aca="false">B8&amp;"–"&amp;C8</f>
        <v>10–15</v>
      </c>
      <c r="B8" s="3" t="n">
        <f aca="false">2*$B$3</f>
        <v>10</v>
      </c>
      <c r="C8" s="3" t="n">
        <f aca="false">B8+$B$3</f>
        <v>15</v>
      </c>
      <c r="D8" s="3" t="n">
        <f aca="false">(B8+C8)/2</f>
        <v>12.5</v>
      </c>
      <c r="E8" s="3" t="n">
        <f aca="false">COUNTIFS(arvores!$A$2:$A$673,"chauas",arvores!$H$2:$H$673,"&gt;"&amp;$B8,arvores!$H$2:$H$673,"&lt;="&amp;$C8)</f>
        <v>106</v>
      </c>
      <c r="F8" s="3" t="n">
        <f aca="false">COUNTIFS(arvores!$A$2:$A$673,"jureia",arvores!$H$2:$H$673,"&gt;"&amp;$B8,arvores!$H$2:$H$673,"&lt;="&amp;$C8)</f>
        <v>51</v>
      </c>
      <c r="G8" s="3" t="n">
        <f aca="false">COUNTIFS(arvores!$A$2:$A$673,"retiro",arvores!$H$2:$H$673,"&gt;"&amp;$B8,arvores!$H$2:$H$673,"&lt;="&amp;$C8)</f>
        <v>52</v>
      </c>
      <c r="H8" s="3" t="n">
        <f aca="false">SUM(E8:G8)</f>
        <v>209</v>
      </c>
      <c r="I8" s="19" t="n">
        <f aca="false">H8/0.3</f>
        <v>696.666666666667</v>
      </c>
      <c r="J8" s="20" t="n">
        <f aca="false">IF(H9=0,"",H8/H9)</f>
        <v>2.375</v>
      </c>
    </row>
    <row r="9" customFormat="false" ht="15" hidden="false" customHeight="false" outlineLevel="0" collapsed="false">
      <c r="A9" s="3" t="str">
        <f aca="false">B9&amp;"–"&amp;C9</f>
        <v>15–20</v>
      </c>
      <c r="B9" s="3" t="n">
        <f aca="false">3*$B$3</f>
        <v>15</v>
      </c>
      <c r="C9" s="3" t="n">
        <f aca="false">B9+$B$3</f>
        <v>20</v>
      </c>
      <c r="D9" s="3" t="n">
        <f aca="false">(B9+C9)/2</f>
        <v>17.5</v>
      </c>
      <c r="E9" s="3" t="n">
        <f aca="false">COUNTIFS(arvores!$A$2:$A$673,"chauas",arvores!$H$2:$H$673,"&gt;"&amp;$B9,arvores!$H$2:$H$673,"&lt;="&amp;$C9)</f>
        <v>33</v>
      </c>
      <c r="F9" s="3" t="n">
        <f aca="false">COUNTIFS(arvores!$A$2:$A$673,"jureia",arvores!$H$2:$H$673,"&gt;"&amp;$B9,arvores!$H$2:$H$673,"&lt;="&amp;$C9)</f>
        <v>36</v>
      </c>
      <c r="G9" s="3" t="n">
        <f aca="false">COUNTIFS(arvores!$A$2:$A$673,"retiro",arvores!$H$2:$H$673,"&gt;"&amp;$B9,arvores!$H$2:$H$673,"&lt;="&amp;$C9)</f>
        <v>19</v>
      </c>
      <c r="H9" s="3" t="n">
        <f aca="false">SUM(E9:G9)</f>
        <v>88</v>
      </c>
      <c r="I9" s="19" t="n">
        <f aca="false">H9/0.3</f>
        <v>293.333333333333</v>
      </c>
      <c r="J9" s="20" t="n">
        <f aca="false">IF(H10=0,"",H9/H10)</f>
        <v>2.51428571428571</v>
      </c>
    </row>
    <row r="10" customFormat="false" ht="15" hidden="false" customHeight="false" outlineLevel="0" collapsed="false">
      <c r="A10" s="3" t="str">
        <f aca="false">B10&amp;"–"&amp;C10</f>
        <v>20–25</v>
      </c>
      <c r="B10" s="3" t="n">
        <f aca="false">4*$B$3</f>
        <v>20</v>
      </c>
      <c r="C10" s="3" t="n">
        <f aca="false">B10+$B$3</f>
        <v>25</v>
      </c>
      <c r="D10" s="3" t="n">
        <f aca="false">(B10+C10)/2</f>
        <v>22.5</v>
      </c>
      <c r="E10" s="3" t="n">
        <f aca="false">COUNTIFS(arvores!$A$2:$A$673,"chauas",arvores!$H$2:$H$673,"&gt;"&amp;$B10,arvores!$H$2:$H$673,"&lt;="&amp;$C10)</f>
        <v>12</v>
      </c>
      <c r="F10" s="3" t="n">
        <f aca="false">COUNTIFS(arvores!$A$2:$A$673,"jureia",arvores!$H$2:$H$673,"&gt;"&amp;$B10,arvores!$H$2:$H$673,"&lt;="&amp;$C10)</f>
        <v>14</v>
      </c>
      <c r="G10" s="3" t="n">
        <f aca="false">COUNTIFS(arvores!$A$2:$A$673,"retiro",arvores!$H$2:$H$673,"&gt;"&amp;$B10,arvores!$H$2:$H$673,"&lt;="&amp;$C10)</f>
        <v>9</v>
      </c>
      <c r="H10" s="3" t="n">
        <f aca="false">SUM(E10:G10)</f>
        <v>35</v>
      </c>
      <c r="I10" s="19" t="n">
        <f aca="false">H10/0.3</f>
        <v>116.666666666667</v>
      </c>
      <c r="J10" s="20" t="n">
        <f aca="false">IF(H11=0,"",H10/H11)</f>
        <v>2.1875</v>
      </c>
    </row>
    <row r="11" customFormat="false" ht="15" hidden="false" customHeight="false" outlineLevel="0" collapsed="false">
      <c r="A11" s="3" t="str">
        <f aca="false">B11&amp;"–"&amp;C11</f>
        <v>25–30</v>
      </c>
      <c r="B11" s="3" t="n">
        <f aca="false">5*$B$3</f>
        <v>25</v>
      </c>
      <c r="C11" s="3" t="n">
        <f aca="false">B11+$B$3</f>
        <v>30</v>
      </c>
      <c r="D11" s="3" t="n">
        <f aca="false">(B11+C11)/2</f>
        <v>27.5</v>
      </c>
      <c r="E11" s="3" t="n">
        <f aca="false">COUNTIFS(arvores!$A$2:$A$673,"chauas",arvores!$H$2:$H$673,"&gt;"&amp;$B11,arvores!$H$2:$H$673,"&lt;="&amp;$C11)</f>
        <v>4</v>
      </c>
      <c r="F11" s="3" t="n">
        <f aca="false">COUNTIFS(arvores!$A$2:$A$673,"jureia",arvores!$H$2:$H$673,"&gt;"&amp;$B11,arvores!$H$2:$H$673,"&lt;="&amp;$C11)</f>
        <v>9</v>
      </c>
      <c r="G11" s="3" t="n">
        <f aca="false">COUNTIFS(arvores!$A$2:$A$673,"retiro",arvores!$H$2:$H$673,"&gt;"&amp;$B11,arvores!$H$2:$H$673,"&lt;="&amp;$C11)</f>
        <v>3</v>
      </c>
      <c r="H11" s="3" t="n">
        <f aca="false">SUM(E11:G11)</f>
        <v>16</v>
      </c>
      <c r="I11" s="19" t="n">
        <f aca="false">H11/0.3</f>
        <v>53.3333333333333</v>
      </c>
      <c r="J11" s="20" t="n">
        <f aca="false">IF(H12=0,"",H11/H12)</f>
        <v>2.66666666666667</v>
      </c>
    </row>
    <row r="12" customFormat="false" ht="15" hidden="false" customHeight="false" outlineLevel="0" collapsed="false">
      <c r="A12" s="3" t="str">
        <f aca="false">B12&amp;"–"&amp;C12</f>
        <v>30–35</v>
      </c>
      <c r="B12" s="3" t="n">
        <f aca="false">6*$B$3</f>
        <v>30</v>
      </c>
      <c r="C12" s="3" t="n">
        <f aca="false">B12+$B$3</f>
        <v>35</v>
      </c>
      <c r="D12" s="3" t="n">
        <f aca="false">(B12+C12)/2</f>
        <v>32.5</v>
      </c>
      <c r="E12" s="3" t="n">
        <f aca="false">COUNTIFS(arvores!$A$2:$A$673,"chauas",arvores!$H$2:$H$673,"&gt;"&amp;$B12,arvores!$H$2:$H$673,"&lt;="&amp;$C12)</f>
        <v>1</v>
      </c>
      <c r="F12" s="3" t="n">
        <f aca="false">COUNTIFS(arvores!$A$2:$A$673,"jureia",arvores!$H$2:$H$673,"&gt;"&amp;$B12,arvores!$H$2:$H$673,"&lt;="&amp;$C12)</f>
        <v>4</v>
      </c>
      <c r="G12" s="3" t="n">
        <f aca="false">COUNTIFS(arvores!$A$2:$A$673,"retiro",arvores!$H$2:$H$673,"&gt;"&amp;$B12,arvores!$H$2:$H$673,"&lt;="&amp;$C12)</f>
        <v>1</v>
      </c>
      <c r="H12" s="3" t="n">
        <f aca="false">SUM(E12:G12)</f>
        <v>6</v>
      </c>
      <c r="I12" s="19" t="n">
        <f aca="false">H12/0.3</f>
        <v>20</v>
      </c>
      <c r="J12" s="20" t="n">
        <f aca="false">IF(H13=0,"",H12/H13)</f>
        <v>1.2</v>
      </c>
    </row>
    <row r="13" customFormat="false" ht="15" hidden="false" customHeight="false" outlineLevel="0" collapsed="false">
      <c r="A13" s="3" t="str">
        <f aca="false">B13&amp;"–"&amp;C13</f>
        <v>35–40</v>
      </c>
      <c r="B13" s="3" t="n">
        <f aca="false">7*$B$3</f>
        <v>35</v>
      </c>
      <c r="C13" s="3" t="n">
        <f aca="false">B13+$B$3</f>
        <v>40</v>
      </c>
      <c r="D13" s="3" t="n">
        <f aca="false">(B13+C13)/2</f>
        <v>37.5</v>
      </c>
      <c r="E13" s="3" t="n">
        <f aca="false">COUNTIFS(arvores!$A$2:$A$673,"chauas",arvores!$H$2:$H$673,"&gt;"&amp;$B13,arvores!$H$2:$H$673,"&lt;="&amp;$C13)</f>
        <v>2</v>
      </c>
      <c r="F13" s="3" t="n">
        <f aca="false">COUNTIFS(arvores!$A$2:$A$673,"jureia",arvores!$H$2:$H$673,"&gt;"&amp;$B13,arvores!$H$2:$H$673,"&lt;="&amp;$C13)</f>
        <v>3</v>
      </c>
      <c r="G13" s="3" t="n">
        <f aca="false">COUNTIFS(arvores!$A$2:$A$673,"retiro",arvores!$H$2:$H$673,"&gt;"&amp;$B13,arvores!$H$2:$H$673,"&lt;="&amp;$C13)</f>
        <v>0</v>
      </c>
      <c r="H13" s="3" t="n">
        <f aca="false">SUM(E13:G13)</f>
        <v>5</v>
      </c>
      <c r="I13" s="19" t="n">
        <f aca="false">H13/0.3</f>
        <v>16.6666666666667</v>
      </c>
      <c r="J13" s="20" t="n">
        <f aca="false">IF(H14=0,"",H13/H14)</f>
        <v>5</v>
      </c>
    </row>
    <row r="14" customFormat="false" ht="15" hidden="false" customHeight="false" outlineLevel="0" collapsed="false">
      <c r="A14" s="3" t="str">
        <f aca="false">B14&amp;"–"&amp;C14</f>
        <v>40–45</v>
      </c>
      <c r="B14" s="3" t="n">
        <f aca="false">8*$B$3</f>
        <v>40</v>
      </c>
      <c r="C14" s="3" t="n">
        <f aca="false">B14+$B$3</f>
        <v>45</v>
      </c>
      <c r="D14" s="3" t="n">
        <f aca="false">(B14+C14)/2</f>
        <v>42.5</v>
      </c>
      <c r="E14" s="3" t="n">
        <f aca="false">COUNTIFS(arvores!$A$2:$A$673,"chauas",arvores!$H$2:$H$673,"&gt;"&amp;$B14,arvores!$H$2:$H$673,"&lt;="&amp;$C14)</f>
        <v>0</v>
      </c>
      <c r="F14" s="3" t="n">
        <f aca="false">COUNTIFS(arvores!$A$2:$A$673,"jureia",arvores!$H$2:$H$673,"&gt;"&amp;$B14,arvores!$H$2:$H$673,"&lt;="&amp;$C14)</f>
        <v>1</v>
      </c>
      <c r="G14" s="3" t="n">
        <f aca="false">COUNTIFS(arvores!$A$2:$A$673,"retiro",arvores!$H$2:$H$673,"&gt;"&amp;$B14,arvores!$H$2:$H$673,"&lt;="&amp;$C14)</f>
        <v>0</v>
      </c>
      <c r="H14" s="3" t="n">
        <f aca="false">SUM(E14:G14)</f>
        <v>1</v>
      </c>
      <c r="I14" s="19" t="n">
        <f aca="false">H14/0.3</f>
        <v>3.33333333333333</v>
      </c>
      <c r="J14" s="20" t="str">
        <f aca="false">IF(H15=0,"",H14/H15)</f>
        <v/>
      </c>
    </row>
    <row r="15" customFormat="false" ht="15" hidden="false" customHeight="false" outlineLevel="0" collapsed="false">
      <c r="A15" s="3" t="str">
        <f aca="false">B15&amp;"–"&amp;C15</f>
        <v>45–50</v>
      </c>
      <c r="B15" s="3" t="n">
        <f aca="false">9*$B$3</f>
        <v>45</v>
      </c>
      <c r="C15" s="3" t="n">
        <f aca="false">B15+$B$3</f>
        <v>50</v>
      </c>
      <c r="D15" s="3" t="n">
        <f aca="false">(B15+C15)/2</f>
        <v>47.5</v>
      </c>
      <c r="E15" s="3" t="n">
        <f aca="false">COUNTIFS(arvores!$A$2:$A$673,"chauas",arvores!$H$2:$H$673,"&gt;"&amp;$B15,arvores!$H$2:$H$673,"&lt;="&amp;$C15)</f>
        <v>0</v>
      </c>
      <c r="F15" s="3" t="n">
        <f aca="false">COUNTIFS(arvores!$A$2:$A$673,"jureia",arvores!$H$2:$H$673,"&gt;"&amp;$B15,arvores!$H$2:$H$673,"&lt;="&amp;$C15)</f>
        <v>0</v>
      </c>
      <c r="G15" s="3" t="n">
        <f aca="false">COUNTIFS(arvores!$A$2:$A$673,"retiro",arvores!$H$2:$H$673,"&gt;"&amp;$B15,arvores!$H$2:$H$673,"&lt;="&amp;$C15)</f>
        <v>0</v>
      </c>
      <c r="H15" s="3" t="n">
        <f aca="false">SUM(E15:G15)</f>
        <v>0</v>
      </c>
      <c r="I15" s="19" t="n">
        <f aca="false">H15/0.3</f>
        <v>0</v>
      </c>
      <c r="J15" s="20" t="str">
        <f aca="false">IF(H16=0,"",H15/H16)</f>
        <v/>
      </c>
    </row>
    <row r="16" customFormat="false" ht="15" hidden="false" customHeight="false" outlineLevel="0" collapsed="false">
      <c r="A16" s="3" t="str">
        <f aca="false">B16&amp;"–"&amp;C16</f>
        <v>50–55</v>
      </c>
      <c r="B16" s="3" t="n">
        <f aca="false">10*$B$3</f>
        <v>50</v>
      </c>
      <c r="C16" s="3" t="n">
        <f aca="false">B16+$B$3</f>
        <v>55</v>
      </c>
      <c r="D16" s="3" t="n">
        <f aca="false">(B16+C16)/2</f>
        <v>52.5</v>
      </c>
      <c r="E16" s="3" t="n">
        <f aca="false">COUNTIFS(arvores!$A$2:$A$673,"chauas",arvores!$H$2:$H$673,"&gt;"&amp;$B16,arvores!$H$2:$H$673,"&lt;="&amp;$C16)</f>
        <v>0</v>
      </c>
      <c r="F16" s="3" t="n">
        <f aca="false">COUNTIFS(arvores!$A$2:$A$673,"jureia",arvores!$H$2:$H$673,"&gt;"&amp;$B16,arvores!$H$2:$H$673,"&lt;="&amp;$C16)</f>
        <v>0</v>
      </c>
      <c r="G16" s="3" t="n">
        <f aca="false">COUNTIFS(arvores!$A$2:$A$673,"retiro",arvores!$H$2:$H$673,"&gt;"&amp;$B16,arvores!$H$2:$H$673,"&lt;="&amp;$C16)</f>
        <v>0</v>
      </c>
      <c r="H16" s="3" t="n">
        <f aca="false">SUM(E16:G16)</f>
        <v>0</v>
      </c>
      <c r="I16" s="19" t="n">
        <f aca="false">H16/0.3</f>
        <v>0</v>
      </c>
      <c r="J16" s="20" t="str">
        <f aca="false">IF(H17=0,"",H16/H17)</f>
        <v/>
      </c>
    </row>
    <row r="17" customFormat="false" ht="15" hidden="false" customHeight="false" outlineLevel="0" collapsed="false">
      <c r="A17" s="3" t="str">
        <f aca="false">B17&amp;"–"&amp;C17</f>
        <v>55–60</v>
      </c>
      <c r="B17" s="3" t="n">
        <f aca="false">11*$B$3</f>
        <v>55</v>
      </c>
      <c r="C17" s="3" t="n">
        <f aca="false">B17+$B$3</f>
        <v>60</v>
      </c>
      <c r="D17" s="3" t="n">
        <f aca="false">(B17+C17)/2</f>
        <v>57.5</v>
      </c>
      <c r="E17" s="3" t="n">
        <f aca="false">COUNTIFS(arvores!$A$2:$A$673,"chauas",arvores!$H$2:$H$673,"&gt;"&amp;$B17,arvores!$H$2:$H$673,"&lt;="&amp;$C17)</f>
        <v>0</v>
      </c>
      <c r="F17" s="3" t="n">
        <f aca="false">COUNTIFS(arvores!$A$2:$A$673,"jureia",arvores!$H$2:$H$673,"&gt;"&amp;$B17,arvores!$H$2:$H$673,"&lt;="&amp;$C17)</f>
        <v>0</v>
      </c>
      <c r="G17" s="3" t="n">
        <f aca="false">COUNTIFS(arvores!$A$2:$A$673,"retiro",arvores!$H$2:$H$673,"&gt;"&amp;$B17,arvores!$H$2:$H$673,"&lt;="&amp;$C17)</f>
        <v>0</v>
      </c>
      <c r="H17" s="3" t="n">
        <f aca="false">SUM(E17:G17)</f>
        <v>0</v>
      </c>
      <c r="I17" s="19" t="n">
        <f aca="false">H17/0.3</f>
        <v>0</v>
      </c>
      <c r="J17" s="20" t="str">
        <f aca="false">IF(H18=0,"",H17/H18)</f>
        <v/>
      </c>
    </row>
    <row r="18" customFormat="false" ht="15" hidden="false" customHeight="false" outlineLevel="0" collapsed="false">
      <c r="A18" s="3" t="str">
        <f aca="false">B18&amp;"–"&amp;C18</f>
        <v>60–65</v>
      </c>
      <c r="B18" s="3" t="n">
        <f aca="false">12*$B$3</f>
        <v>60</v>
      </c>
      <c r="C18" s="3" t="n">
        <f aca="false">B18+$B$3</f>
        <v>65</v>
      </c>
      <c r="D18" s="3" t="n">
        <f aca="false">(B18+C18)/2</f>
        <v>62.5</v>
      </c>
      <c r="E18" s="3" t="n">
        <f aca="false">COUNTIFS(arvores!$A$2:$A$673,"chauas",arvores!$H$2:$H$673,"&gt;"&amp;$B18,arvores!$H$2:$H$673,"&lt;="&amp;$C18)</f>
        <v>0</v>
      </c>
      <c r="F18" s="3" t="n">
        <f aca="false">COUNTIFS(arvores!$A$2:$A$673,"jureia",arvores!$H$2:$H$673,"&gt;"&amp;$B18,arvores!$H$2:$H$673,"&lt;="&amp;$C18)</f>
        <v>0</v>
      </c>
      <c r="G18" s="3" t="n">
        <f aca="false">COUNTIFS(arvores!$A$2:$A$673,"retiro",arvores!$H$2:$H$673,"&gt;"&amp;$B18,arvores!$H$2:$H$673,"&lt;="&amp;$C18)</f>
        <v>0</v>
      </c>
      <c r="H18" s="3" t="n">
        <f aca="false">SUM(E18:G18)</f>
        <v>0</v>
      </c>
      <c r="I18" s="19" t="n">
        <f aca="false">H18/0.3</f>
        <v>0</v>
      </c>
      <c r="J18" s="20" t="n">
        <f aca="false">IF(H19=0,"",H18/H19)</f>
        <v>0</v>
      </c>
    </row>
    <row r="19" customFormat="false" ht="15" hidden="false" customHeight="false" outlineLevel="0" collapsed="false">
      <c r="A19" s="3" t="str">
        <f aca="false">B19&amp;"–"&amp;C19</f>
        <v>65–70</v>
      </c>
      <c r="B19" s="3" t="n">
        <f aca="false">13*$B$3</f>
        <v>65</v>
      </c>
      <c r="C19" s="3" t="n">
        <f aca="false">B19+$B$3</f>
        <v>70</v>
      </c>
      <c r="D19" s="3" t="n">
        <f aca="false">(B19+C19)/2</f>
        <v>67.5</v>
      </c>
      <c r="E19" s="3" t="n">
        <f aca="false">COUNTIFS(arvores!$A$2:$A$673,"chauas",arvores!$H$2:$H$673,"&gt;"&amp;$B19,arvores!$H$2:$H$673,"&lt;="&amp;$C19)</f>
        <v>0</v>
      </c>
      <c r="F19" s="3" t="n">
        <f aca="false">COUNTIFS(arvores!$A$2:$A$673,"jureia",arvores!$H$2:$H$673,"&gt;"&amp;$B19,arvores!$H$2:$H$673,"&lt;="&amp;$C19)</f>
        <v>1</v>
      </c>
      <c r="G19" s="3" t="n">
        <f aca="false">COUNTIFS(arvores!$A$2:$A$673,"retiro",arvores!$H$2:$H$673,"&gt;"&amp;$B19,arvores!$H$2:$H$673,"&lt;="&amp;$C19)</f>
        <v>0</v>
      </c>
      <c r="H19" s="3" t="n">
        <f aca="false">SUM(E19:G19)</f>
        <v>1</v>
      </c>
      <c r="I19" s="19" t="n">
        <f aca="false">H19/0.3</f>
        <v>3.33333333333333</v>
      </c>
      <c r="J19" s="3"/>
    </row>
    <row r="20" customFormat="false" ht="15" hidden="false" customHeight="false" outlineLevel="0" collapsed="false">
      <c r="A20" s="4" t="s">
        <v>803</v>
      </c>
      <c r="B20" s="3"/>
      <c r="C20" s="3"/>
      <c r="D20" s="3"/>
      <c r="E20" s="4" t="n">
        <f aca="false">SUM(E6:E19)</f>
        <v>290</v>
      </c>
      <c r="F20" s="4" t="n">
        <f aca="false">SUM(F6:F19)</f>
        <v>178</v>
      </c>
      <c r="G20" s="4" t="n">
        <f aca="false">SUM(G6:G19)</f>
        <v>204</v>
      </c>
      <c r="H20" s="4" t="n">
        <f aca="false">SUM(H6:H19)</f>
        <v>672</v>
      </c>
      <c r="I20" s="4" t="n">
        <f aca="false">SUM(I6:I19)</f>
        <v>2240</v>
      </c>
      <c r="J20" s="3"/>
    </row>
    <row r="21" customFormat="false" ht="15" hidden="false" customHeight="false" outlineLevel="0" collapsed="false">
      <c r="A21" s="3" t="s">
        <v>872</v>
      </c>
      <c r="B21" s="3"/>
      <c r="C21" s="3"/>
      <c r="D21" s="3"/>
      <c r="E21" s="3"/>
      <c r="F21" s="3"/>
      <c r="G21" s="3"/>
      <c r="H21" s="3" t="n">
        <f aca="false">COUNTIF(arvores!$H$2:$H$673,"&gt;"&amp;C19)</f>
        <v>0</v>
      </c>
      <c r="I21" s="3"/>
      <c r="J21" s="3"/>
    </row>
    <row r="22" customFormat="false" ht="15" hidden="false" customHeight="false" outlineLevel="0" collapsed="false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customFormat="false" ht="15" hidden="false" customHeight="false" outlineLevel="0" collapsed="false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customFormat="false" ht="15" hidden="false" customHeight="false" outlineLevel="0" collapsed="false">
      <c r="A24" s="4" t="s">
        <v>873</v>
      </c>
      <c r="B24" s="3"/>
      <c r="C24" s="3"/>
      <c r="D24" s="3"/>
      <c r="E24" s="3"/>
      <c r="F24" s="3"/>
      <c r="G24" s="3"/>
      <c r="H24" s="3"/>
      <c r="I24" s="3"/>
      <c r="J24" s="3"/>
    </row>
    <row r="25" customFormat="false" ht="15" hidden="false" customHeight="false" outlineLevel="0" collapsed="false">
      <c r="A25" s="3" t="s">
        <v>874</v>
      </c>
      <c r="B25" s="20" t="n">
        <f aca="false">AVERAGE(arvores!$I$2:$I$673)</f>
        <v>9.04985119047619</v>
      </c>
      <c r="C25" s="3"/>
      <c r="D25" s="3"/>
      <c r="E25" s="3"/>
      <c r="F25" s="3"/>
      <c r="G25" s="3"/>
      <c r="H25" s="3"/>
      <c r="I25" s="3"/>
      <c r="J25" s="3"/>
    </row>
    <row r="26" customFormat="false" ht="15" hidden="false" customHeight="false" outlineLevel="0" collapsed="false">
      <c r="A26" s="3" t="s">
        <v>875</v>
      </c>
      <c r="B26" s="20" t="n">
        <f aca="false">STDEV(arvores!$I$2:$I$673)</f>
        <v>3.76777060844375</v>
      </c>
      <c r="C26" s="3"/>
      <c r="D26" s="3"/>
      <c r="E26" s="3"/>
      <c r="F26" s="3"/>
      <c r="G26" s="3"/>
      <c r="H26" s="3"/>
      <c r="I26" s="3"/>
      <c r="J26" s="3"/>
    </row>
    <row r="27" customFormat="false" ht="15" hidden="false" customHeight="false" outlineLevel="0" collapsed="false">
      <c r="A27" s="3" t="s">
        <v>876</v>
      </c>
      <c r="B27" s="20" t="n">
        <f aca="false">B25-B26</f>
        <v>5.28208058203244</v>
      </c>
      <c r="C27" s="3"/>
      <c r="D27" s="3"/>
      <c r="E27" s="3"/>
      <c r="F27" s="3"/>
      <c r="G27" s="3"/>
      <c r="H27" s="3"/>
      <c r="I27" s="3"/>
      <c r="J27" s="3"/>
    </row>
    <row r="28" customFormat="false" ht="15" hidden="false" customHeight="false" outlineLevel="0" collapsed="false">
      <c r="A28" s="3" t="s">
        <v>877</v>
      </c>
      <c r="B28" s="20" t="n">
        <f aca="false">B25+B26</f>
        <v>12.8176217989199</v>
      </c>
      <c r="C28" s="3"/>
      <c r="D28" s="3"/>
      <c r="E28" s="3"/>
      <c r="F28" s="3"/>
      <c r="G28" s="3"/>
      <c r="H28" s="3"/>
      <c r="I28" s="3"/>
      <c r="J28" s="3"/>
    </row>
    <row r="29" customFormat="false" ht="15" hidden="false" customHeight="false" outlineLevel="0" collapsed="false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customFormat="false" ht="15" hidden="false" customHeight="false" outlineLevel="0" collapsed="false">
      <c r="A30" s="5" t="s">
        <v>878</v>
      </c>
      <c r="B30" s="5" t="s">
        <v>32</v>
      </c>
      <c r="C30" s="5" t="s">
        <v>50</v>
      </c>
      <c r="D30" s="5" t="s">
        <v>70</v>
      </c>
      <c r="E30" s="5" t="s">
        <v>803</v>
      </c>
      <c r="F30" s="3"/>
      <c r="G30" s="3"/>
      <c r="H30" s="3"/>
      <c r="I30" s="3"/>
      <c r="J30" s="3"/>
    </row>
    <row r="31" customFormat="false" ht="15" hidden="false" customHeight="false" outlineLevel="0" collapsed="false">
      <c r="A31" s="3" t="s">
        <v>879</v>
      </c>
      <c r="B31" s="3" t="n">
        <f aca="false">COUNTIFS(arvores!$A$2:$A$673,"chauas",arvores!$I$2:$I$673,"&lt;"&amp;$B$27)</f>
        <v>45</v>
      </c>
      <c r="C31" s="3" t="n">
        <f aca="false">COUNTIFS(arvores!$A$2:$A$673,"jureia",arvores!$I$2:$I$673,"&lt;"&amp;$B$27)</f>
        <v>6</v>
      </c>
      <c r="D31" s="3" t="n">
        <f aca="false">COUNTIFS(arvores!$A$2:$A$673,"retiro",arvores!$I$2:$I$673,"&lt;"&amp;$B$27)</f>
        <v>61</v>
      </c>
      <c r="E31" s="3" t="n">
        <f aca="false">SUM(B31:D31)</f>
        <v>112</v>
      </c>
      <c r="F31" s="3"/>
      <c r="G31" s="3"/>
      <c r="H31" s="3"/>
      <c r="I31" s="3"/>
      <c r="J31" s="3"/>
    </row>
    <row r="32" customFormat="false" ht="15" hidden="false" customHeight="false" outlineLevel="0" collapsed="false">
      <c r="A32" s="3" t="s">
        <v>880</v>
      </c>
      <c r="B32" s="3" t="n">
        <f aca="false">COUNTIFS(arvores!$A$2:$A$673,"chauas",arvores!$I$2:$I$673,"&gt;="&amp;$B$27,arvores!$I$2:$I$673,"&lt;="&amp;$B$28)</f>
        <v>201</v>
      </c>
      <c r="C32" s="3" t="n">
        <f aca="false">COUNTIFS(arvores!$A$2:$A$673,"jureia",arvores!$I$2:$I$673,"&gt;="&amp;$B$27,arvores!$I$2:$I$673,"&lt;="&amp;$B$28)</f>
        <v>123</v>
      </c>
      <c r="D32" s="3" t="n">
        <f aca="false">COUNTIFS(arvores!$A$2:$A$673,"retiro",arvores!$I$2:$I$673,"&gt;="&amp;$B$27,arvores!$I$2:$I$673,"&lt;="&amp;$B$28)</f>
        <v>132</v>
      </c>
      <c r="E32" s="3" t="n">
        <f aca="false">SUM(B32:D32)</f>
        <v>456</v>
      </c>
      <c r="F32" s="3"/>
      <c r="G32" s="3"/>
      <c r="H32" s="3"/>
      <c r="I32" s="3"/>
      <c r="J32" s="3"/>
    </row>
    <row r="33" customFormat="false" ht="15" hidden="false" customHeight="false" outlineLevel="0" collapsed="false">
      <c r="A33" s="3" t="s">
        <v>881</v>
      </c>
      <c r="B33" s="3" t="n">
        <f aca="false">COUNTIFS(arvores!$A$2:$A$673,"chauas",arvores!$I$2:$I$673,"&gt;"&amp;$B$28)</f>
        <v>44</v>
      </c>
      <c r="C33" s="3" t="n">
        <f aca="false">COUNTIFS(arvores!$A$2:$A$673,"jureia",arvores!$I$2:$I$673,"&gt;"&amp;$B$28)</f>
        <v>49</v>
      </c>
      <c r="D33" s="3" t="n">
        <f aca="false">COUNTIFS(arvores!$A$2:$A$673,"retiro",arvores!$I$2:$I$673,"&gt;"&amp;$B$28)</f>
        <v>11</v>
      </c>
      <c r="E33" s="3" t="n">
        <f aca="false">SUM(B33:D33)</f>
        <v>104</v>
      </c>
      <c r="F33" s="3"/>
      <c r="G33" s="3"/>
      <c r="H33" s="3"/>
      <c r="I33" s="3"/>
      <c r="J33" s="3"/>
    </row>
    <row r="34" customFormat="false" ht="15" hidden="false" customHeight="false" outlineLevel="0" collapsed="false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customFormat="false" ht="15" hidden="false" customHeight="false" outlineLevel="0" collapsed="false">
      <c r="A35" s="3" t="s">
        <v>882</v>
      </c>
      <c r="B35" s="3"/>
      <c r="C35" s="3"/>
      <c r="D35" s="3"/>
      <c r="E35" s="3"/>
      <c r="F35" s="3"/>
      <c r="G35" s="3"/>
      <c r="H35" s="3"/>
      <c r="I35" s="3"/>
      <c r="J35" s="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2026-10-09T03:28:41Z</dcterms:created>
  <dc:creator>openpyxl</dc:creator>
  <dc:description/>
  <dc:language>en-US</dc:language>
  <cp:lastModifiedBy/>
  <dcterms:modified xsi:type="dcterms:W3CDTF">2026-10-08T23:28:44Z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